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21075" windowHeight="9780"/>
  </bookViews>
  <sheets>
    <sheet name="Návod na používanie" sheetId="4" r:id="rId1"/>
    <sheet name="Objednávkový a nárezový plán" sheetId="2" r:id="rId2"/>
    <sheet name="Obrázkový zoznam kovaní" sheetId="3" r:id="rId3"/>
    <sheet name="Prepočty" sheetId="1" state="hidden" r:id="rId4"/>
  </sheets>
  <calcPr calcId="125725"/>
</workbook>
</file>

<file path=xl/calcChain.xml><?xml version="1.0" encoding="utf-8"?>
<calcChain xmlns="http://schemas.openxmlformats.org/spreadsheetml/2006/main">
  <c r="T35" i="2"/>
  <c r="U35" s="1"/>
  <c r="T34"/>
  <c r="U34" s="1"/>
  <c r="P66" i="1"/>
  <c r="P60"/>
  <c r="P54"/>
  <c r="P55" s="1"/>
  <c r="P57" s="1"/>
  <c r="P48"/>
  <c r="P42"/>
  <c r="T45" s="1"/>
  <c r="L66"/>
  <c r="T68" s="1"/>
  <c r="L60"/>
  <c r="L54"/>
  <c r="T56" s="1"/>
  <c r="L48"/>
  <c r="L50" s="1"/>
  <c r="L42"/>
  <c r="H66"/>
  <c r="H60"/>
  <c r="H54"/>
  <c r="H48"/>
  <c r="H49" s="1"/>
  <c r="H52" s="1"/>
  <c r="H42"/>
  <c r="T43" s="1"/>
  <c r="D66"/>
  <c r="D70" s="1"/>
  <c r="D60"/>
  <c r="T60" s="1"/>
  <c r="D54"/>
  <c r="D55" s="1"/>
  <c r="D57" s="1"/>
  <c r="D48"/>
  <c r="D52" s="1"/>
  <c r="D42"/>
  <c r="AF3"/>
  <c r="AF11" s="1"/>
  <c r="AB3"/>
  <c r="AB16" s="1"/>
  <c r="X3"/>
  <c r="V26" s="1"/>
  <c r="T3"/>
  <c r="T4" s="1"/>
  <c r="P3"/>
  <c r="P16" s="1"/>
  <c r="L3"/>
  <c r="J26" s="1"/>
  <c r="H3"/>
  <c r="H5" s="1"/>
  <c r="H12" s="1"/>
  <c r="D3"/>
  <c r="B26" s="1"/>
  <c r="L4" l="1"/>
  <c r="P4"/>
  <c r="AF4"/>
  <c r="AB4"/>
  <c r="X4"/>
  <c r="H4"/>
  <c r="D4"/>
  <c r="AG4" s="1"/>
  <c r="T32"/>
  <c r="R32"/>
  <c r="S33"/>
  <c r="V33"/>
  <c r="S32"/>
  <c r="V32"/>
  <c r="R33"/>
  <c r="T33"/>
  <c r="AF6"/>
  <c r="AF17" s="1"/>
  <c r="T5"/>
  <c r="T12" s="1"/>
  <c r="AF5"/>
  <c r="AF12" s="1"/>
  <c r="P5"/>
  <c r="P12" s="1"/>
  <c r="AB6"/>
  <c r="AB17" s="1"/>
  <c r="L5"/>
  <c r="L12" s="1"/>
  <c r="AB5"/>
  <c r="AB12" s="1"/>
  <c r="X5"/>
  <c r="X12" s="1"/>
  <c r="D61"/>
  <c r="D64" s="1"/>
  <c r="T54"/>
  <c r="P67"/>
  <c r="P68" s="1"/>
  <c r="T69"/>
  <c r="P61"/>
  <c r="P62" s="1"/>
  <c r="T63"/>
  <c r="P64"/>
  <c r="T57"/>
  <c r="P49"/>
  <c r="P50" s="1"/>
  <c r="T51"/>
  <c r="P71"/>
  <c r="P43"/>
  <c r="P46" s="1"/>
  <c r="H43"/>
  <c r="H46" s="1"/>
  <c r="D51"/>
  <c r="D69"/>
  <c r="L49"/>
  <c r="L52" s="1"/>
  <c r="L67"/>
  <c r="L70" s="1"/>
  <c r="T62"/>
  <c r="L61"/>
  <c r="L63" s="1"/>
  <c r="L55"/>
  <c r="L58" s="1"/>
  <c r="L71"/>
  <c r="L51"/>
  <c r="T50"/>
  <c r="L43"/>
  <c r="L45" s="1"/>
  <c r="T44"/>
  <c r="D49"/>
  <c r="D50"/>
  <c r="H67"/>
  <c r="H70" s="1"/>
  <c r="T55"/>
  <c r="H55"/>
  <c r="H57" s="1"/>
  <c r="T49"/>
  <c r="H71"/>
  <c r="T67"/>
  <c r="H68"/>
  <c r="T61"/>
  <c r="H61"/>
  <c r="H62" s="1"/>
  <c r="T66"/>
  <c r="D68"/>
  <c r="D67"/>
  <c r="D71"/>
  <c r="T48"/>
  <c r="D43"/>
  <c r="D45" s="1"/>
  <c r="T42"/>
  <c r="AF21"/>
  <c r="AF16"/>
  <c r="AD26"/>
  <c r="Z26"/>
  <c r="T16"/>
  <c r="P11"/>
  <c r="N26"/>
  <c r="AB11"/>
  <c r="AB21"/>
  <c r="X10"/>
  <c r="X19"/>
  <c r="X27" s="1"/>
  <c r="X11"/>
  <c r="X15"/>
  <c r="X16"/>
  <c r="R26"/>
  <c r="T11"/>
  <c r="L16"/>
  <c r="L11"/>
  <c r="H10"/>
  <c r="F26"/>
  <c r="H11"/>
  <c r="H14"/>
  <c r="H26" s="1"/>
  <c r="D5"/>
  <c r="D12" s="1"/>
  <c r="D11"/>
  <c r="P56"/>
  <c r="P58"/>
  <c r="D58"/>
  <c r="D56"/>
  <c r="D62"/>
  <c r="D63"/>
  <c r="L68"/>
  <c r="L44"/>
  <c r="H44"/>
  <c r="H45"/>
  <c r="D46"/>
  <c r="D44"/>
  <c r="P44"/>
  <c r="P45"/>
  <c r="H63"/>
  <c r="H64"/>
  <c r="L56"/>
  <c r="H50"/>
  <c r="H51"/>
  <c r="AB7" l="1"/>
  <c r="AB22" s="1"/>
  <c r="P6"/>
  <c r="P17" s="1"/>
  <c r="V34"/>
  <c r="D51" i="2" s="1"/>
  <c r="T34" i="1"/>
  <c r="C51" i="2" s="1"/>
  <c r="L57" i="1"/>
  <c r="R57" s="1"/>
  <c r="X6"/>
  <c r="X17" s="1"/>
  <c r="Z60" s="1"/>
  <c r="V21" i="2" s="1"/>
  <c r="L6" i="1"/>
  <c r="L17" s="1"/>
  <c r="AF7"/>
  <c r="AF22" s="1"/>
  <c r="R34"/>
  <c r="A51" i="2" s="1"/>
  <c r="S34" i="1"/>
  <c r="B51" i="2" s="1"/>
  <c r="Z64" i="1"/>
  <c r="V25" i="2" s="1"/>
  <c r="Z61" i="1"/>
  <c r="V22" i="2" s="1"/>
  <c r="T6" i="1"/>
  <c r="T17" s="1"/>
  <c r="Z63" s="1"/>
  <c r="V24" i="2" s="1"/>
  <c r="T74" i="1"/>
  <c r="X45" s="1"/>
  <c r="N24" i="2" s="1"/>
  <c r="T31" s="1"/>
  <c r="R50" i="1"/>
  <c r="R68"/>
  <c r="P70"/>
  <c r="R70" s="1"/>
  <c r="P69"/>
  <c r="P63"/>
  <c r="R63" s="1"/>
  <c r="P52"/>
  <c r="R52" s="1"/>
  <c r="P51"/>
  <c r="R51" s="1"/>
  <c r="L69"/>
  <c r="L64"/>
  <c r="R64" s="1"/>
  <c r="L62"/>
  <c r="R62" s="1"/>
  <c r="T73"/>
  <c r="X44" s="1"/>
  <c r="N23" i="2" s="1"/>
  <c r="L46" i="1"/>
  <c r="R46" s="1"/>
  <c r="P72"/>
  <c r="H69"/>
  <c r="H58"/>
  <c r="R58" s="1"/>
  <c r="H56"/>
  <c r="R56" s="1"/>
  <c r="T71"/>
  <c r="X42" s="1"/>
  <c r="N21" i="2" s="1"/>
  <c r="T72" i="1"/>
  <c r="X43" s="1"/>
  <c r="N22" i="2" s="1"/>
  <c r="X26" i="1"/>
  <c r="AE26"/>
  <c r="X28"/>
  <c r="H28"/>
  <c r="AB64"/>
  <c r="W25" i="2" s="1"/>
  <c r="R45" i="1"/>
  <c r="R44"/>
  <c r="Z62" l="1"/>
  <c r="V23" i="2" s="1"/>
  <c r="Z65" i="1"/>
  <c r="V26" i="2" s="1"/>
  <c r="X50" i="1"/>
  <c r="AD48" s="1"/>
  <c r="X51"/>
  <c r="X52"/>
  <c r="U31" i="2"/>
  <c r="U29"/>
  <c r="T29"/>
  <c r="U30"/>
  <c r="T30"/>
  <c r="U28"/>
  <c r="T28"/>
  <c r="R69" i="1"/>
  <c r="S69" s="1"/>
  <c r="T15" s="1"/>
  <c r="S70"/>
  <c r="T75"/>
  <c r="S68"/>
  <c r="AF15" s="1"/>
  <c r="T19"/>
  <c r="AF24"/>
  <c r="AF28" s="1"/>
  <c r="P10"/>
  <c r="P15"/>
  <c r="D14" l="1"/>
  <c r="D28" s="1"/>
  <c r="P19"/>
  <c r="T10"/>
  <c r="AB60"/>
  <c r="W21" i="2" s="1"/>
  <c r="AL5" i="1"/>
  <c r="U32" i="2" s="1"/>
  <c r="AB65" i="1"/>
  <c r="W26" i="2" s="1"/>
  <c r="AE48" i="1"/>
  <c r="AB48" s="1"/>
  <c r="AE49"/>
  <c r="AE50"/>
  <c r="AD50"/>
  <c r="AD49"/>
  <c r="AD47"/>
  <c r="AB47" s="1"/>
  <c r="L10"/>
  <c r="D10"/>
  <c r="L15"/>
  <c r="X53"/>
  <c r="N32" i="2" s="1"/>
  <c r="AB63" i="1"/>
  <c r="W24" i="2" s="1"/>
  <c r="AB20" i="1"/>
  <c r="AB10"/>
  <c r="X61" s="1"/>
  <c r="T22" i="2" s="1"/>
  <c r="U22" s="1"/>
  <c r="L19" i="1"/>
  <c r="L27" s="1"/>
  <c r="AB24"/>
  <c r="AF10"/>
  <c r="X64" s="1"/>
  <c r="T25" i="2" s="1"/>
  <c r="U25" s="1"/>
  <c r="AB15" i="1"/>
  <c r="X63" s="1"/>
  <c r="T24" i="2" s="1"/>
  <c r="U24" s="1"/>
  <c r="AB62" i="1"/>
  <c r="W23" i="2" s="1"/>
  <c r="AB61" i="1"/>
  <c r="W22" i="2" s="1"/>
  <c r="X57" i="1"/>
  <c r="N36" i="2" s="1"/>
  <c r="X54" i="1"/>
  <c r="N33" i="2" s="1"/>
  <c r="X55" i="1"/>
  <c r="X56" s="1"/>
  <c r="AF20"/>
  <c r="X65" s="1"/>
  <c r="T26" i="2" s="1"/>
  <c r="U26" s="1"/>
  <c r="T26" i="1"/>
  <c r="T28"/>
  <c r="T27"/>
  <c r="AF27"/>
  <c r="AF26"/>
  <c r="P28" l="1"/>
  <c r="P27"/>
  <c r="P26"/>
  <c r="D26"/>
  <c r="X60"/>
  <c r="T21" i="2" s="1"/>
  <c r="U21" s="1"/>
  <c r="AL6" i="1"/>
  <c r="AB49"/>
  <c r="AB50"/>
  <c r="X62"/>
  <c r="T23" i="2" s="1"/>
  <c r="U23" s="1"/>
  <c r="N35"/>
  <c r="N34"/>
  <c r="L26" i="1"/>
  <c r="L28"/>
  <c r="AG15" s="1"/>
  <c r="AH15" s="1"/>
  <c r="AB27"/>
  <c r="AG27" s="1"/>
  <c r="AB26"/>
  <c r="AB28"/>
  <c r="AG16" s="1"/>
  <c r="AH16" s="1"/>
  <c r="AB51" l="1"/>
  <c r="N30" i="2" s="1"/>
  <c r="AG26" i="1"/>
  <c r="AH17"/>
  <c r="AL16" s="1"/>
  <c r="AG28"/>
  <c r="AM16" s="1"/>
  <c r="AL17" l="1"/>
  <c r="U33" i="2"/>
  <c r="T33" s="1"/>
  <c r="AL19" i="1"/>
  <c r="AM19"/>
  <c r="AM17"/>
  <c r="AN17" s="1"/>
  <c r="AO17" s="1"/>
  <c r="AP17" s="1"/>
  <c r="AN16"/>
  <c r="AO16" s="1"/>
  <c r="AP16" s="1"/>
  <c r="N29" i="2"/>
  <c r="N31"/>
  <c r="T32"/>
  <c r="AM5" i="1"/>
  <c r="AQ16" l="1"/>
  <c r="AR16" s="1"/>
  <c r="AN19"/>
  <c r="AN5"/>
  <c r="AO5" s="1"/>
  <c r="AP5" s="1"/>
  <c r="AM6"/>
  <c r="AM8"/>
  <c r="AL8"/>
  <c r="AQ17" l="1"/>
  <c r="AR17" s="1"/>
  <c r="AR18" s="1"/>
  <c r="AS17" s="1"/>
  <c r="AN8"/>
  <c r="AN6"/>
  <c r="AO6" s="1"/>
  <c r="AP6" s="1"/>
  <c r="AS16" l="1"/>
  <c r="AI16" s="1"/>
  <c r="X47" s="1"/>
  <c r="AI17"/>
  <c r="X49" s="1"/>
  <c r="AQ6"/>
  <c r="AR6" s="1"/>
  <c r="AQ5"/>
  <c r="AR5" s="1"/>
  <c r="AR7" l="1"/>
  <c r="AS5" s="1"/>
  <c r="AI5" s="1"/>
  <c r="X46" s="1"/>
  <c r="AS6" l="1"/>
  <c r="AI6" s="1"/>
  <c r="X48" s="1"/>
  <c r="N27" i="2" s="1"/>
  <c r="N28"/>
  <c r="N25"/>
  <c r="N26" l="1"/>
</calcChain>
</file>

<file path=xl/sharedStrings.xml><?xml version="1.0" encoding="utf-8"?>
<sst xmlns="http://schemas.openxmlformats.org/spreadsheetml/2006/main" count="431" uniqueCount="128">
  <si>
    <r>
      <t xml:space="preserve">VV =  vnút. </t>
    </r>
    <r>
      <rPr>
        <b/>
        <sz val="11"/>
        <color theme="1"/>
        <rFont val="Calibri"/>
        <family val="2"/>
        <charset val="238"/>
        <scheme val="minor"/>
      </rPr>
      <t>výška</t>
    </r>
    <r>
      <rPr>
        <sz val="11"/>
        <color theme="1"/>
        <rFont val="Calibri"/>
        <family val="2"/>
        <charset val="238"/>
        <scheme val="minor"/>
      </rPr>
      <t xml:space="preserve"> skrine</t>
    </r>
  </si>
  <si>
    <t>H  =  výška dverí</t>
  </si>
  <si>
    <t>D  =  Drevotrieska</t>
  </si>
  <si>
    <t>S  =  SKLO</t>
  </si>
  <si>
    <t>D1  =  drevotrieska 1</t>
  </si>
  <si>
    <t>D2  =  Drevotrieska 2</t>
  </si>
  <si>
    <t>S1  =  SKLO 1</t>
  </si>
  <si>
    <t>S2  =  SKLO 2</t>
  </si>
  <si>
    <t>D  =  drevotrieska</t>
  </si>
  <si>
    <t xml:space="preserve">Madlo DUST 18 </t>
  </si>
  <si>
    <t xml:space="preserve">Madlo LINE 18 </t>
  </si>
  <si>
    <t xml:space="preserve">Madlo SHOCK 18 </t>
  </si>
  <si>
    <t xml:space="preserve">Madlo UNIFINE plus 18 </t>
  </si>
  <si>
    <t>2-dverová</t>
  </si>
  <si>
    <r>
      <t>VŠ  =  vnút.</t>
    </r>
    <r>
      <rPr>
        <b/>
        <sz val="11"/>
        <rFont val="Calibri"/>
        <family val="2"/>
        <charset val="238"/>
        <scheme val="minor"/>
      </rPr>
      <t>šírka</t>
    </r>
    <r>
      <rPr>
        <sz val="11"/>
        <rFont val="Calibri"/>
        <family val="2"/>
        <charset val="238"/>
        <scheme val="minor"/>
      </rPr>
      <t xml:space="preserve"> skrine</t>
    </r>
  </si>
  <si>
    <t>Š  = šírka dverí</t>
  </si>
  <si>
    <t>Šírka drevotriesok D,D1,D2</t>
  </si>
  <si>
    <t>Šírka skliel S,S1,S2</t>
  </si>
  <si>
    <t>Šírka priečnych profilov</t>
  </si>
  <si>
    <t>3-dverová</t>
  </si>
  <si>
    <t>4-dverová</t>
  </si>
  <si>
    <t>5-dverová</t>
  </si>
  <si>
    <t>6-dverová</t>
  </si>
  <si>
    <t>Drevotrieska</t>
  </si>
  <si>
    <t>SKLO 1</t>
  </si>
  <si>
    <t>šírka</t>
  </si>
  <si>
    <t>výška</t>
  </si>
  <si>
    <t>SKLO 2</t>
  </si>
  <si>
    <t>Drevotrieska 1</t>
  </si>
  <si>
    <t>SKLO</t>
  </si>
  <si>
    <t>Drevotrieska 2</t>
  </si>
  <si>
    <t>Dĺžka vodorovných a prechodových profilov</t>
  </si>
  <si>
    <t>Madlo DUST 18</t>
  </si>
  <si>
    <t>Madlo LINE 18</t>
  </si>
  <si>
    <t>Madlo SHOCK 18</t>
  </si>
  <si>
    <t>Madlo UNIFINE plus 18</t>
  </si>
  <si>
    <t>Vodorovný profil</t>
  </si>
  <si>
    <t>Prechodový profil</t>
  </si>
  <si>
    <t>ks</t>
  </si>
  <si>
    <t>m</t>
  </si>
  <si>
    <t>Koľaj vrchná</t>
  </si>
  <si>
    <t>Koľaj spodná</t>
  </si>
  <si>
    <t>Koliesko spodná</t>
  </si>
  <si>
    <t>Koliesko vrchné</t>
  </si>
  <si>
    <t>Štetina dorazová</t>
  </si>
  <si>
    <t>Štetina tesniaca</t>
  </si>
  <si>
    <t>Krytka do koľaje spodnej</t>
  </si>
  <si>
    <t>Mont. skrutka 5,5 x 45</t>
  </si>
  <si>
    <t>x</t>
  </si>
  <si>
    <t>Komponent</t>
  </si>
  <si>
    <t>počet</t>
  </si>
  <si>
    <t>mj</t>
  </si>
  <si>
    <t>Vodorov.profil 18-2m</t>
  </si>
  <si>
    <t>Prech. profil 18-2m</t>
  </si>
  <si>
    <t>Vodorov.profil 18-3m</t>
  </si>
  <si>
    <t>Prech. profil 18-3m</t>
  </si>
  <si>
    <t>Vodorovný</t>
  </si>
  <si>
    <t>Prechodový</t>
  </si>
  <si>
    <t>D2</t>
  </si>
  <si>
    <t>S2</t>
  </si>
  <si>
    <t>D1</t>
  </si>
  <si>
    <t>S1</t>
  </si>
  <si>
    <t>DS11</t>
  </si>
  <si>
    <t>SD11</t>
  </si>
  <si>
    <t>DS21</t>
  </si>
  <si>
    <t>SD21</t>
  </si>
  <si>
    <t>Vnútorná šírka skrine</t>
  </si>
  <si>
    <t>Vnútorná výška skrine</t>
  </si>
  <si>
    <t>Počet dverí</t>
  </si>
  <si>
    <t>Typ dverí</t>
  </si>
  <si>
    <t>Typ madla</t>
  </si>
  <si>
    <t>Typ   dverí</t>
  </si>
  <si>
    <t>Typ  madla</t>
  </si>
  <si>
    <t>DT18</t>
  </si>
  <si>
    <t>LE18</t>
  </si>
  <si>
    <t>SH18</t>
  </si>
  <si>
    <t>UP18</t>
  </si>
  <si>
    <t>Voliteľné výšky u typov dverí D2,S2,DS11,SD11,DS21 a SD21</t>
  </si>
  <si>
    <t>D1=Drevotrieska 1</t>
  </si>
  <si>
    <t>S1=SKLO 1</t>
  </si>
  <si>
    <t>D=Drevotrieska</t>
  </si>
  <si>
    <t>S=SKLO</t>
  </si>
  <si>
    <t>Kovanie na objednanie</t>
  </si>
  <si>
    <t>Nárezový plán</t>
  </si>
  <si>
    <t>dĺžka</t>
  </si>
  <si>
    <t>počet ks</t>
  </si>
  <si>
    <t>Počet ks</t>
  </si>
  <si>
    <t>Koliesko spodné</t>
  </si>
  <si>
    <t>cm</t>
  </si>
  <si>
    <t>1.</t>
  </si>
  <si>
    <t>2.</t>
  </si>
  <si>
    <t>3.</t>
  </si>
  <si>
    <t>4.</t>
  </si>
  <si>
    <t>5.</t>
  </si>
  <si>
    <r>
      <t xml:space="preserve">Do bunky E28 sa vpíše typ madla. Typy madiel sú uvedené v riadku 4 a v stĺpcoch K až T. Príklad: ak chcem na skriňu použiť madlo SHOCK 18, uvediem typ madla </t>
    </r>
    <r>
      <rPr>
        <sz val="11"/>
        <color rgb="FFFF0000"/>
        <rFont val="Calibri"/>
        <family val="2"/>
        <charset val="238"/>
        <scheme val="minor"/>
      </rPr>
      <t>SH18</t>
    </r>
    <r>
      <rPr>
        <sz val="11"/>
        <color theme="1"/>
        <rFont val="Calibri"/>
        <family val="2"/>
        <charset val="238"/>
        <scheme val="minor"/>
      </rPr>
      <t xml:space="preserve">. </t>
    </r>
  </si>
  <si>
    <r>
      <t xml:space="preserve">Do bunky E27 sa uvedie  niektorý typ dverí z riadku 4 v stĺpcoch B až I. Príklad: ak chcem dvere delené spôsobom, že v spodnej časti dverí je drevotrieska, nad ňou sklo a nad sklom znovu drevotrieska, tak zvolím typ dverí </t>
    </r>
    <r>
      <rPr>
        <sz val="11"/>
        <color rgb="FFFF0000"/>
        <rFont val="Calibri"/>
        <family val="2"/>
        <charset val="238"/>
        <scheme val="minor"/>
      </rPr>
      <t>DS21</t>
    </r>
    <r>
      <rPr>
        <sz val="11"/>
        <color theme="1"/>
        <rFont val="Calibri"/>
        <family val="2"/>
        <charset val="238"/>
        <scheme val="minor"/>
      </rPr>
      <t>.</t>
    </r>
  </si>
  <si>
    <r>
      <t>Do bunky E24  sa vpisuje celková vnútorná šírka skrine</t>
    </r>
    <r>
      <rPr>
        <sz val="11"/>
        <color rgb="FF00B050"/>
        <rFont val="Calibri"/>
        <family val="2"/>
        <charset val="238"/>
        <scheme val="minor"/>
      </rPr>
      <t>( v centimetroch)</t>
    </r>
    <r>
      <rPr>
        <sz val="11"/>
        <color theme="1"/>
        <rFont val="Calibri"/>
        <family val="2"/>
        <charset val="238"/>
        <scheme val="minor"/>
      </rPr>
      <t xml:space="preserve"> bez bočných stojok, to znamená, že vnútorná šírka sa rovná dĺžke dolnej a hornej koľaje.</t>
    </r>
  </si>
  <si>
    <r>
      <t xml:space="preserve">Do bunky E25 sa vpisuje celková vnútorná výška skrine </t>
    </r>
    <r>
      <rPr>
        <sz val="11"/>
        <color rgb="FF00B050"/>
        <rFont val="Calibri"/>
        <family val="2"/>
        <charset val="238"/>
        <scheme val="minor"/>
      </rPr>
      <t>( v centimetroch)</t>
    </r>
    <r>
      <rPr>
        <sz val="11"/>
        <color theme="1"/>
        <rFont val="Calibri"/>
        <family val="2"/>
        <charset val="238"/>
        <scheme val="minor"/>
      </rPr>
      <t>. Môže to byť od vrchnej časti spodnej dosky po spodnú časť vrchnej dosky, alebo od podlahy po strop.</t>
    </r>
  </si>
  <si>
    <t>Do bunky E26 sa zadá počet dverí plánovaný na skriňu.</t>
  </si>
  <si>
    <t>Ak si zvolím typ dverí D1 a S1, do doplnkových údajov nezapisujem nič.</t>
  </si>
  <si>
    <t>6.</t>
  </si>
  <si>
    <t>7.</t>
  </si>
  <si>
    <r>
      <t xml:space="preserve">U typu dverí D2 zapíšem výšku spodnej drevotriesky </t>
    </r>
    <r>
      <rPr>
        <sz val="11"/>
        <color rgb="FF00B050"/>
        <rFont val="Calibri"/>
        <family val="2"/>
        <charset val="238"/>
        <scheme val="minor"/>
      </rPr>
      <t>( v centimetroch )</t>
    </r>
    <r>
      <rPr>
        <sz val="11"/>
        <color theme="1"/>
        <rFont val="Calibri"/>
        <family val="2"/>
        <charset val="238"/>
        <scheme val="minor"/>
      </rPr>
      <t xml:space="preserve"> do kolonky pre D1= Drevotrieska 1.</t>
    </r>
  </si>
  <si>
    <r>
      <t xml:space="preserve">U dverí S2 zapíšem zvolenú výšku spodného skla </t>
    </r>
    <r>
      <rPr>
        <sz val="11"/>
        <color rgb="FF00B050"/>
        <rFont val="Calibri"/>
        <family val="2"/>
        <charset val="238"/>
        <scheme val="minor"/>
      </rPr>
      <t>( v centimetroch )</t>
    </r>
    <r>
      <rPr>
        <sz val="11"/>
        <color theme="1"/>
        <rFont val="Calibri"/>
        <family val="2"/>
        <charset val="238"/>
        <scheme val="minor"/>
      </rPr>
      <t xml:space="preserve"> do kolonky pre S1= SKLO 1.</t>
    </r>
  </si>
  <si>
    <r>
      <t xml:space="preserve">U dverí typu DS11 zapíšem zvolenú výšku drevotriesky </t>
    </r>
    <r>
      <rPr>
        <sz val="11"/>
        <color rgb="FF00B050"/>
        <rFont val="Calibri"/>
        <family val="2"/>
        <charset val="238"/>
        <scheme val="minor"/>
      </rPr>
      <t>( v centimetroch )</t>
    </r>
    <r>
      <rPr>
        <sz val="11"/>
        <color theme="1"/>
        <rFont val="Calibri"/>
        <family val="2"/>
        <charset val="238"/>
        <scheme val="minor"/>
      </rPr>
      <t xml:space="preserve"> do kolonky pre D=Drevotrieska.</t>
    </r>
  </si>
  <si>
    <r>
      <t xml:space="preserve">U dverí SD11 zapíšem zvolenú výšku skla </t>
    </r>
    <r>
      <rPr>
        <sz val="11"/>
        <color rgb="FF00B050"/>
        <rFont val="Calibri"/>
        <family val="2"/>
        <charset val="238"/>
        <scheme val="minor"/>
      </rPr>
      <t>( v centimetroch )</t>
    </r>
    <r>
      <rPr>
        <sz val="11"/>
        <color theme="1"/>
        <rFont val="Calibri"/>
        <family val="2"/>
        <charset val="238"/>
        <scheme val="minor"/>
      </rPr>
      <t xml:space="preserve"> do klonky pre S=SKLO.</t>
    </r>
  </si>
  <si>
    <r>
      <t xml:space="preserve">U dverí DS21 zapíšem zvolenú výšku spodnej drevotriesky </t>
    </r>
    <r>
      <rPr>
        <sz val="11"/>
        <color rgb="FF00B050"/>
        <rFont val="Calibri"/>
        <family val="2"/>
        <charset val="238"/>
        <scheme val="minor"/>
      </rPr>
      <t>( v centimetroch )</t>
    </r>
    <r>
      <rPr>
        <sz val="11"/>
        <color theme="1"/>
        <rFont val="Calibri"/>
        <family val="2"/>
        <charset val="238"/>
        <scheme val="minor"/>
      </rPr>
      <t xml:space="preserve"> do kolonky pre D1=Drevotrieska 1 a zvolenú výšku skla </t>
    </r>
    <r>
      <rPr>
        <sz val="11"/>
        <color rgb="FF00B050"/>
        <rFont val="Calibri"/>
        <family val="2"/>
        <charset val="238"/>
        <scheme val="minor"/>
      </rPr>
      <t>( v centimetroch )</t>
    </r>
    <r>
      <rPr>
        <sz val="11"/>
        <color theme="1"/>
        <rFont val="Calibri"/>
        <family val="2"/>
        <charset val="238"/>
        <scheme val="minor"/>
      </rPr>
      <t xml:space="preserve"> do kolonky pre S= SKLO.</t>
    </r>
  </si>
  <si>
    <r>
      <t xml:space="preserve">U dverí SD21 zapíšem zvolenú výšku spodného skla </t>
    </r>
    <r>
      <rPr>
        <sz val="11"/>
        <color rgb="FF00B050"/>
        <rFont val="Calibri"/>
        <family val="2"/>
        <charset val="238"/>
        <scheme val="minor"/>
      </rPr>
      <t>( v centimetroch )</t>
    </r>
    <r>
      <rPr>
        <sz val="11"/>
        <color theme="1"/>
        <rFont val="Calibri"/>
        <family val="2"/>
        <charset val="238"/>
        <scheme val="minor"/>
      </rPr>
      <t xml:space="preserve"> do kolonky pre S1=SKLO1 a zvolenú výšku drevotriesky</t>
    </r>
    <r>
      <rPr>
        <sz val="11"/>
        <color rgb="FF00B050"/>
        <rFont val="Calibri"/>
        <family val="2"/>
        <charset val="238"/>
        <scheme val="minor"/>
      </rPr>
      <t xml:space="preserve"> ( v centimetroch )</t>
    </r>
    <r>
      <rPr>
        <sz val="11"/>
        <color theme="1"/>
        <rFont val="Calibri"/>
        <family val="2"/>
        <charset val="238"/>
        <scheme val="minor"/>
      </rPr>
      <t xml:space="preserve"> do kolonky pre D=Drevotrieska.</t>
    </r>
  </si>
  <si>
    <t>Predchádzajúci popis sa týkal povinných údajov. V nasledovnom sa popis bude týkať spôsobu zadávania doplnkových údajov v bunkách I26,  I27,  I28   a   I29.</t>
  </si>
  <si>
    <t>DTD</t>
  </si>
  <si>
    <t>DTD 1</t>
  </si>
  <si>
    <t>D</t>
  </si>
  <si>
    <t>S</t>
  </si>
  <si>
    <t>D 1</t>
  </si>
  <si>
    <t>S 1</t>
  </si>
  <si>
    <t>Dôležité:</t>
  </si>
  <si>
    <t>Pre zjednodušenie obsluhy, po zadaní typu dverí v povinných údajoch, sa následne niektoré bunky v časti doplňujúcich údajov vyfarbia zelenožltou farbou. Vyfarbené bunky je potom treba vyplniť  voliteľnými hodnotami. Nevyfarbené sa nevypĺňajú.</t>
  </si>
  <si>
    <t>Typ</t>
  </si>
  <si>
    <r>
      <t xml:space="preserve">Tyč </t>
    </r>
    <r>
      <rPr>
        <sz val="11"/>
        <color rgb="FFFF0000"/>
        <rFont val="Calibri"/>
        <family val="2"/>
        <charset val="238"/>
        <scheme val="minor"/>
      </rPr>
      <t>/</t>
    </r>
    <r>
      <rPr>
        <sz val="11"/>
        <color theme="1"/>
        <rFont val="Calibri"/>
        <family val="2"/>
        <charset val="238"/>
        <scheme val="minor"/>
      </rPr>
      <t xml:space="preserve"> požadovaná dĺžka </t>
    </r>
    <r>
      <rPr>
        <sz val="11"/>
        <color theme="6" tint="-0.249977111117893"/>
        <rFont val="Calibri"/>
        <family val="2"/>
        <charset val="238"/>
        <scheme val="minor"/>
      </rPr>
      <t>(na celé dolu)</t>
    </r>
  </si>
  <si>
    <t>Odpad z tyče</t>
  </si>
  <si>
    <t>% odpadu na 1 ks</t>
  </si>
  <si>
    <t>Počet potreby celých tyčí</t>
  </si>
  <si>
    <t>Zvyšok na dopílenie</t>
  </si>
  <si>
    <t>F8*G8&gt;200</t>
  </si>
  <si>
    <t>F8*G8&lt;=300</t>
  </si>
  <si>
    <t>Podmienka na porovnanie</t>
  </si>
  <si>
    <t>Povinné údaje</t>
  </si>
  <si>
    <t>Doplňujúce údaje</t>
  </si>
</sst>
</file>

<file path=xl/styles.xml><?xml version="1.0" encoding="utf-8"?>
<styleSheet xmlns="http://schemas.openxmlformats.org/spreadsheetml/2006/main">
  <numFmts count="1">
    <numFmt numFmtId="164" formatCode="0.0"/>
  </numFmts>
  <fonts count="2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b/>
      <sz val="12"/>
      <color rgb="FFC00000"/>
      <name val="Calibri"/>
      <family val="2"/>
      <charset val="238"/>
      <scheme val="minor"/>
    </font>
    <font>
      <sz val="11"/>
      <color theme="0" tint="-4.9989318521683403E-2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015F25"/>
      <name val="Calibri"/>
      <family val="2"/>
      <charset val="238"/>
      <scheme val="minor"/>
    </font>
    <font>
      <sz val="20"/>
      <color rgb="FF015F25"/>
      <name val="Calibri"/>
      <family val="2"/>
      <charset val="238"/>
      <scheme val="minor"/>
    </font>
    <font>
      <sz val="20"/>
      <color theme="3" tint="-0.249977111117893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sz val="11"/>
      <color rgb="FF0000FF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1"/>
      <color theme="6" tint="-0.249977111117893"/>
      <name val="Calibri"/>
      <family val="2"/>
      <charset val="238"/>
      <scheme val="minor"/>
    </font>
    <font>
      <sz val="8"/>
      <color rgb="FFC00000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BE17D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3FE66"/>
        <bgColor indexed="64"/>
      </patternFill>
    </fill>
    <fill>
      <patternFill patternType="solid">
        <fgColor rgb="FF99F35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3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 style="medium">
        <color indexed="64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 style="medium">
        <color indexed="64"/>
      </right>
      <top/>
      <bottom style="medium">
        <color rgb="FFC00000"/>
      </bottom>
      <diagonal/>
    </border>
    <border>
      <left style="medium">
        <color rgb="FFC00000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rgb="FFA20649"/>
      </left>
      <right style="hair">
        <color rgb="FFA20649"/>
      </right>
      <top style="hair">
        <color rgb="FFA20649"/>
      </top>
      <bottom style="hair">
        <color rgb="FFA20649"/>
      </bottom>
      <diagonal/>
    </border>
    <border>
      <left style="medium">
        <color rgb="FFA20649"/>
      </left>
      <right/>
      <top style="medium">
        <color rgb="FFA20649"/>
      </top>
      <bottom/>
      <diagonal/>
    </border>
    <border>
      <left/>
      <right/>
      <top style="medium">
        <color rgb="FFA20649"/>
      </top>
      <bottom/>
      <diagonal/>
    </border>
    <border>
      <left/>
      <right style="medium">
        <color rgb="FFA20649"/>
      </right>
      <top style="medium">
        <color rgb="FFA20649"/>
      </top>
      <bottom/>
      <diagonal/>
    </border>
    <border>
      <left style="medium">
        <color rgb="FFA20649"/>
      </left>
      <right style="hair">
        <color rgb="FFA20649"/>
      </right>
      <top style="hair">
        <color rgb="FFA20649"/>
      </top>
      <bottom style="hair">
        <color rgb="FFA20649"/>
      </bottom>
      <diagonal/>
    </border>
    <border>
      <left style="hair">
        <color rgb="FFA20649"/>
      </left>
      <right style="medium">
        <color rgb="FFA20649"/>
      </right>
      <top style="hair">
        <color rgb="FFA20649"/>
      </top>
      <bottom style="hair">
        <color rgb="FFA20649"/>
      </bottom>
      <diagonal/>
    </border>
    <border>
      <left style="medium">
        <color rgb="FFA20649"/>
      </left>
      <right style="hair">
        <color rgb="FFA20649"/>
      </right>
      <top style="hair">
        <color rgb="FFA20649"/>
      </top>
      <bottom style="medium">
        <color rgb="FFA20649"/>
      </bottom>
      <diagonal/>
    </border>
    <border>
      <left style="hair">
        <color rgb="FFA20649"/>
      </left>
      <right style="hair">
        <color rgb="FFA20649"/>
      </right>
      <top style="hair">
        <color rgb="FFA20649"/>
      </top>
      <bottom style="medium">
        <color rgb="FFA20649"/>
      </bottom>
      <diagonal/>
    </border>
    <border>
      <left style="hair">
        <color rgb="FFA20649"/>
      </left>
      <right style="medium">
        <color rgb="FFA20649"/>
      </right>
      <top style="hair">
        <color rgb="FFA20649"/>
      </top>
      <bottom style="medium">
        <color rgb="FFA20649"/>
      </bottom>
      <diagonal/>
    </border>
    <border>
      <left style="medium">
        <color rgb="FFA20649"/>
      </left>
      <right style="hair">
        <color rgb="FFA20649"/>
      </right>
      <top/>
      <bottom style="hair">
        <color rgb="FFA20649"/>
      </bottom>
      <diagonal/>
    </border>
    <border>
      <left style="hair">
        <color rgb="FFA20649"/>
      </left>
      <right style="hair">
        <color rgb="FFA20649"/>
      </right>
      <top/>
      <bottom style="hair">
        <color rgb="FFA20649"/>
      </bottom>
      <diagonal/>
    </border>
    <border>
      <left style="hair">
        <color rgb="FFA20649"/>
      </left>
      <right style="medium">
        <color rgb="FFA20649"/>
      </right>
      <top/>
      <bottom style="hair">
        <color rgb="FFA20649"/>
      </bottom>
      <diagonal/>
    </border>
    <border>
      <left style="medium">
        <color rgb="FFA20649"/>
      </left>
      <right/>
      <top/>
      <bottom style="thin">
        <color rgb="FFA20649"/>
      </bottom>
      <diagonal/>
    </border>
    <border>
      <left/>
      <right/>
      <top/>
      <bottom style="thin">
        <color rgb="FFA20649"/>
      </bottom>
      <diagonal/>
    </border>
    <border>
      <left/>
      <right style="medium">
        <color rgb="FFA20649"/>
      </right>
      <top/>
      <bottom style="thin">
        <color rgb="FFA20649"/>
      </bottom>
      <diagonal/>
    </border>
    <border>
      <left style="medium">
        <color rgb="FFA20649"/>
      </left>
      <right style="hair">
        <color rgb="FFA20649"/>
      </right>
      <top style="thin">
        <color rgb="FFA20649"/>
      </top>
      <bottom style="thin">
        <color rgb="FFA20649"/>
      </bottom>
      <diagonal/>
    </border>
    <border>
      <left style="hair">
        <color rgb="FFA20649"/>
      </left>
      <right style="hair">
        <color rgb="FFA20649"/>
      </right>
      <top style="thin">
        <color rgb="FFA20649"/>
      </top>
      <bottom style="thin">
        <color rgb="FFA20649"/>
      </bottom>
      <diagonal/>
    </border>
    <border>
      <left style="hair">
        <color rgb="FFA20649"/>
      </left>
      <right style="medium">
        <color rgb="FFA20649"/>
      </right>
      <top style="thin">
        <color rgb="FFA20649"/>
      </top>
      <bottom style="thin">
        <color rgb="FFA2064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medium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medium">
        <color theme="3" tint="-0.249977111117893"/>
      </bottom>
      <diagonal/>
    </border>
    <border>
      <left style="hair">
        <color theme="3" tint="-0.249977111117893"/>
      </left>
      <right style="medium">
        <color theme="3" tint="-0.249977111117893"/>
      </right>
      <top style="hair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medium">
        <color theme="3" tint="-0.249977111117893"/>
      </left>
      <right style="hair">
        <color theme="3" tint="-0.249977111117893"/>
      </right>
      <top style="hair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medium">
        <color theme="3" tint="-0.249977111117893"/>
      </right>
      <top/>
      <bottom style="hair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/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 tint="-0.249977111117893"/>
      </left>
      <right style="hair">
        <color theme="3" tint="-0.249977111117893"/>
      </right>
      <top/>
      <bottom style="thin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thin">
        <color theme="3" tint="-0.249977111117893"/>
      </bottom>
      <diagonal/>
    </border>
    <border>
      <left style="hair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/>
      <top/>
      <bottom style="hair">
        <color theme="3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 style="medium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medium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medium">
        <color theme="3" tint="-0.249977111117893"/>
      </top>
      <bottom/>
      <diagonal/>
    </border>
    <border>
      <left style="hair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hair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hair">
        <color theme="3" tint="-0.249977111117893"/>
      </right>
      <top style="medium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medium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hair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0" fillId="0" borderId="0" xfId="0" applyProtection="1"/>
    <xf numFmtId="0" fontId="0" fillId="0" borderId="10" xfId="0" applyBorder="1" applyProtection="1"/>
    <xf numFmtId="0" fontId="0" fillId="2" borderId="11" xfId="0" applyFill="1" applyBorder="1" applyProtection="1"/>
    <xf numFmtId="0" fontId="0" fillId="0" borderId="12" xfId="0" applyBorder="1" applyProtection="1"/>
    <xf numFmtId="0" fontId="0" fillId="3" borderId="2" xfId="0" applyFill="1" applyBorder="1" applyProtection="1"/>
    <xf numFmtId="0" fontId="0" fillId="3" borderId="18" xfId="0" applyFill="1" applyBorder="1" applyProtection="1"/>
    <xf numFmtId="0" fontId="0" fillId="5" borderId="2" xfId="0" applyFill="1" applyBorder="1" applyProtection="1"/>
    <xf numFmtId="0" fontId="0" fillId="4" borderId="3" xfId="0" applyFill="1" applyBorder="1" applyProtection="1"/>
    <xf numFmtId="0" fontId="0" fillId="4" borderId="19" xfId="0" applyFill="1" applyBorder="1" applyProtection="1"/>
    <xf numFmtId="0" fontId="0" fillId="6" borderId="3" xfId="0" applyFill="1" applyBorder="1" applyProtection="1"/>
    <xf numFmtId="0" fontId="0" fillId="6" borderId="19" xfId="0" applyFill="1" applyBorder="1" applyProtection="1"/>
    <xf numFmtId="0" fontId="0" fillId="4" borderId="2" xfId="0" applyFill="1" applyBorder="1" applyProtection="1"/>
    <xf numFmtId="0" fontId="0" fillId="6" borderId="2" xfId="0" applyFill="1" applyBorder="1" applyProtection="1"/>
    <xf numFmtId="0" fontId="0" fillId="0" borderId="0" xfId="0" applyBorder="1" applyProtection="1"/>
    <xf numFmtId="0" fontId="0" fillId="0" borderId="14" xfId="0" applyBorder="1" applyProtection="1"/>
    <xf numFmtId="0" fontId="0" fillId="4" borderId="13" xfId="0" applyFill="1" applyBorder="1" applyProtection="1"/>
    <xf numFmtId="0" fontId="0" fillId="6" borderId="13" xfId="0" applyFill="1" applyBorder="1" applyProtection="1"/>
    <xf numFmtId="0" fontId="0" fillId="0" borderId="0" xfId="0" applyBorder="1" applyAlignment="1" applyProtection="1">
      <alignment horizontal="center"/>
    </xf>
    <xf numFmtId="0" fontId="0" fillId="0" borderId="24" xfId="0" applyBorder="1" applyAlignment="1" applyProtection="1">
      <alignment horizontal="right"/>
    </xf>
    <xf numFmtId="164" fontId="7" fillId="0" borderId="14" xfId="0" applyNumberFormat="1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0" fillId="0" borderId="25" xfId="0" applyFill="1" applyBorder="1" applyAlignment="1" applyProtection="1">
      <alignment horizontal="right"/>
    </xf>
    <xf numFmtId="0" fontId="7" fillId="0" borderId="26" xfId="0" applyFont="1" applyBorder="1" applyAlignment="1" applyProtection="1">
      <alignment horizontal="center" vertical="center"/>
    </xf>
    <xf numFmtId="164" fontId="7" fillId="5" borderId="23" xfId="0" applyNumberFormat="1" applyFont="1" applyFill="1" applyBorder="1" applyAlignment="1" applyProtection="1">
      <alignment horizontal="center" vertical="center"/>
    </xf>
    <xf numFmtId="0" fontId="0" fillId="5" borderId="26" xfId="0" applyFill="1" applyBorder="1" applyProtection="1"/>
    <xf numFmtId="0" fontId="7" fillId="0" borderId="26" xfId="0" applyFont="1" applyBorder="1" applyAlignment="1" applyProtection="1">
      <alignment horizontal="center"/>
    </xf>
    <xf numFmtId="0" fontId="0" fillId="0" borderId="15" xfId="0" applyBorder="1" applyProtection="1"/>
    <xf numFmtId="0" fontId="0" fillId="0" borderId="16" xfId="0" applyBorder="1" applyProtection="1"/>
    <xf numFmtId="0" fontId="0" fillId="0" borderId="17" xfId="0" applyBorder="1" applyProtection="1"/>
    <xf numFmtId="0" fontId="0" fillId="5" borderId="17" xfId="0" applyFill="1" applyBorder="1" applyAlignment="1" applyProtection="1">
      <alignment vertical="center"/>
    </xf>
    <xf numFmtId="0" fontId="0" fillId="5" borderId="17" xfId="0" applyFill="1" applyBorder="1" applyProtection="1"/>
    <xf numFmtId="164" fontId="0" fillId="0" borderId="0" xfId="0" applyNumberFormat="1" applyProtection="1"/>
    <xf numFmtId="0" fontId="3" fillId="2" borderId="20" xfId="0" applyFont="1" applyFill="1" applyBorder="1" applyProtection="1"/>
    <xf numFmtId="0" fontId="0" fillId="3" borderId="0" xfId="0" applyFill="1" applyBorder="1" applyProtection="1"/>
    <xf numFmtId="164" fontId="0" fillId="3" borderId="6" xfId="0" applyNumberFormat="1" applyFill="1" applyBorder="1" applyProtection="1"/>
    <xf numFmtId="0" fontId="0" fillId="4" borderId="0" xfId="0" applyFill="1" applyBorder="1" applyProtection="1"/>
    <xf numFmtId="164" fontId="0" fillId="4" borderId="6" xfId="0" applyNumberFormat="1" applyFill="1" applyBorder="1" applyProtection="1"/>
    <xf numFmtId="0" fontId="0" fillId="6" borderId="0" xfId="0" applyFill="1" applyBorder="1" applyProtection="1"/>
    <xf numFmtId="164" fontId="0" fillId="6" borderId="6" xfId="0" applyNumberFormat="1" applyFill="1" applyBorder="1" applyProtection="1"/>
    <xf numFmtId="0" fontId="0" fillId="7" borderId="8" xfId="0" applyFill="1" applyBorder="1" applyProtection="1"/>
    <xf numFmtId="164" fontId="0" fillId="7" borderId="9" xfId="0" applyNumberFormat="1" applyFill="1" applyBorder="1" applyProtection="1"/>
    <xf numFmtId="164" fontId="0" fillId="0" borderId="0" xfId="0" applyNumberFormat="1" applyBorder="1" applyProtection="1"/>
    <xf numFmtId="0" fontId="0" fillId="0" borderId="0" xfId="0" applyFill="1" applyProtection="1"/>
    <xf numFmtId="164" fontId="0" fillId="0" borderId="6" xfId="0" applyNumberFormat="1" applyFill="1" applyBorder="1" applyProtection="1"/>
    <xf numFmtId="164" fontId="0" fillId="3" borderId="21" xfId="0" applyNumberFormat="1" applyFill="1" applyBorder="1" applyProtection="1"/>
    <xf numFmtId="0" fontId="9" fillId="0" borderId="0" xfId="0" applyFont="1" applyProtection="1"/>
    <xf numFmtId="164" fontId="9" fillId="0" borderId="0" xfId="0" applyNumberFormat="1" applyFont="1" applyProtection="1"/>
    <xf numFmtId="0" fontId="3" fillId="0" borderId="0" xfId="0" applyFont="1" applyProtection="1"/>
    <xf numFmtId="0" fontId="0" fillId="0" borderId="38" xfId="0" applyBorder="1" applyAlignment="1" applyProtection="1">
      <alignment horizontal="center"/>
    </xf>
    <xf numFmtId="0" fontId="0" fillId="0" borderId="38" xfId="0" applyBorder="1" applyProtection="1"/>
    <xf numFmtId="0" fontId="0" fillId="0" borderId="39" xfId="0" applyFill="1" applyBorder="1" applyAlignment="1" applyProtection="1">
      <alignment horizontal="center"/>
    </xf>
    <xf numFmtId="0" fontId="0" fillId="0" borderId="37" xfId="0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7" fillId="8" borderId="34" xfId="0" applyFont="1" applyFill="1" applyBorder="1" applyProtection="1"/>
    <xf numFmtId="0" fontId="7" fillId="8" borderId="35" xfId="0" applyFont="1" applyFill="1" applyBorder="1" applyProtection="1"/>
    <xf numFmtId="0" fontId="7" fillId="8" borderId="36" xfId="0" applyFont="1" applyFill="1" applyBorder="1" applyProtection="1"/>
    <xf numFmtId="0" fontId="7" fillId="8" borderId="29" xfId="0" applyFont="1" applyFill="1" applyBorder="1" applyProtection="1"/>
    <xf numFmtId="0" fontId="7" fillId="8" borderId="28" xfId="0" applyFont="1" applyFill="1" applyBorder="1" applyProtection="1"/>
    <xf numFmtId="0" fontId="7" fillId="8" borderId="30" xfId="0" applyFont="1" applyFill="1" applyBorder="1" applyProtection="1"/>
    <xf numFmtId="2" fontId="7" fillId="8" borderId="28" xfId="0" applyNumberFormat="1" applyFont="1" applyFill="1" applyBorder="1" applyProtection="1"/>
    <xf numFmtId="0" fontId="7" fillId="8" borderId="31" xfId="0" applyFont="1" applyFill="1" applyBorder="1" applyProtection="1"/>
    <xf numFmtId="0" fontId="7" fillId="8" borderId="32" xfId="0" applyFont="1" applyFill="1" applyBorder="1" applyProtection="1"/>
    <xf numFmtId="0" fontId="7" fillId="8" borderId="33" xfId="0" applyFont="1" applyFill="1" applyBorder="1" applyProtection="1"/>
    <xf numFmtId="0" fontId="7" fillId="9" borderId="34" xfId="0" applyFont="1" applyFill="1" applyBorder="1" applyProtection="1"/>
    <xf numFmtId="164" fontId="7" fillId="9" borderId="35" xfId="0" applyNumberFormat="1" applyFont="1" applyFill="1" applyBorder="1" applyAlignment="1" applyProtection="1">
      <alignment horizontal="center"/>
    </xf>
    <xf numFmtId="0" fontId="7" fillId="9" borderId="35" xfId="0" applyFont="1" applyFill="1" applyBorder="1" applyAlignment="1" applyProtection="1">
      <alignment horizontal="center"/>
    </xf>
    <xf numFmtId="0" fontId="7" fillId="9" borderId="35" xfId="0" applyFont="1" applyFill="1" applyBorder="1" applyProtection="1"/>
    <xf numFmtId="0" fontId="7" fillId="9" borderId="36" xfId="0" applyFont="1" applyFill="1" applyBorder="1" applyAlignment="1" applyProtection="1">
      <alignment horizontal="center"/>
    </xf>
    <xf numFmtId="0" fontId="7" fillId="9" borderId="29" xfId="0" applyFont="1" applyFill="1" applyBorder="1" applyProtection="1"/>
    <xf numFmtId="164" fontId="7" fillId="9" borderId="28" xfId="0" applyNumberFormat="1" applyFont="1" applyFill="1" applyBorder="1" applyAlignment="1" applyProtection="1">
      <alignment horizontal="center"/>
    </xf>
    <xf numFmtId="0" fontId="7" fillId="9" borderId="28" xfId="0" applyFont="1" applyFill="1" applyBorder="1" applyAlignment="1" applyProtection="1">
      <alignment horizontal="center"/>
    </xf>
    <xf numFmtId="0" fontId="7" fillId="9" borderId="28" xfId="0" applyFont="1" applyFill="1" applyBorder="1" applyProtection="1"/>
    <xf numFmtId="0" fontId="7" fillId="9" borderId="30" xfId="0" applyFont="1" applyFill="1" applyBorder="1" applyAlignment="1" applyProtection="1">
      <alignment horizontal="center"/>
    </xf>
    <xf numFmtId="0" fontId="7" fillId="9" borderId="31" xfId="0" applyFont="1" applyFill="1" applyBorder="1" applyProtection="1"/>
    <xf numFmtId="164" fontId="7" fillId="9" borderId="32" xfId="0" applyNumberFormat="1" applyFont="1" applyFill="1" applyBorder="1" applyAlignment="1" applyProtection="1">
      <alignment horizontal="center"/>
    </xf>
    <xf numFmtId="0" fontId="7" fillId="9" borderId="32" xfId="0" applyFont="1" applyFill="1" applyBorder="1" applyAlignment="1" applyProtection="1">
      <alignment horizontal="center"/>
    </xf>
    <xf numFmtId="0" fontId="7" fillId="9" borderId="32" xfId="0" applyFont="1" applyFill="1" applyBorder="1" applyProtection="1"/>
    <xf numFmtId="0" fontId="7" fillId="9" borderId="33" xfId="0" applyFont="1" applyFill="1" applyBorder="1" applyAlignment="1" applyProtection="1">
      <alignment horizontal="center"/>
    </xf>
    <xf numFmtId="0" fontId="1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164" fontId="3" fillId="0" borderId="0" xfId="0" applyNumberFormat="1" applyFont="1" applyProtection="1"/>
    <xf numFmtId="0" fontId="10" fillId="0" borderId="0" xfId="0" applyFont="1"/>
    <xf numFmtId="0" fontId="0" fillId="0" borderId="43" xfId="0" applyBorder="1" applyAlignment="1">
      <alignment horizontal="left"/>
    </xf>
    <xf numFmtId="0" fontId="0" fillId="0" borderId="48" xfId="0" applyBorder="1" applyAlignment="1">
      <alignment horizontal="center"/>
    </xf>
    <xf numFmtId="0" fontId="0" fillId="0" borderId="47" xfId="0" applyBorder="1" applyAlignment="1">
      <alignment horizontal="left"/>
    </xf>
    <xf numFmtId="0" fontId="0" fillId="0" borderId="51" xfId="0" applyBorder="1" applyAlignment="1">
      <alignment horizontal="center"/>
    </xf>
    <xf numFmtId="0" fontId="0" fillId="0" borderId="54" xfId="0" applyBorder="1" applyAlignment="1">
      <alignment horizontal="center"/>
    </xf>
    <xf numFmtId="0" fontId="13" fillId="0" borderId="59" xfId="0" applyFont="1" applyBorder="1"/>
    <xf numFmtId="0" fontId="13" fillId="0" borderId="60" xfId="0" applyFont="1" applyBorder="1" applyAlignment="1">
      <alignment horizontal="center"/>
    </xf>
    <xf numFmtId="0" fontId="0" fillId="0" borderId="53" xfId="0" applyNumberFormat="1" applyBorder="1" applyAlignment="1">
      <alignment horizontal="center"/>
    </xf>
    <xf numFmtId="0" fontId="0" fillId="0" borderId="43" xfId="0" applyNumberFormat="1" applyBorder="1" applyAlignment="1">
      <alignment horizontal="center"/>
    </xf>
    <xf numFmtId="0" fontId="0" fillId="0" borderId="50" xfId="0" applyNumberFormat="1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164" fontId="0" fillId="0" borderId="68" xfId="0" applyNumberFormat="1" applyBorder="1" applyAlignment="1">
      <alignment horizontal="center"/>
    </xf>
    <xf numFmtId="164" fontId="0" fillId="0" borderId="61" xfId="0" applyNumberFormat="1" applyBorder="1" applyAlignment="1">
      <alignment horizontal="center"/>
    </xf>
    <xf numFmtId="164" fontId="0" fillId="0" borderId="63" xfId="0" applyNumberFormat="1" applyBorder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Fill="1" applyBorder="1" applyProtection="1"/>
    <xf numFmtId="164" fontId="0" fillId="0" borderId="1" xfId="0" applyNumberFormat="1" applyFill="1" applyBorder="1" applyProtection="1"/>
    <xf numFmtId="164" fontId="7" fillId="8" borderId="28" xfId="0" applyNumberFormat="1" applyFont="1" applyFill="1" applyBorder="1" applyProtection="1"/>
    <xf numFmtId="0" fontId="0" fillId="10" borderId="0" xfId="0" applyFill="1"/>
    <xf numFmtId="0" fontId="0" fillId="0" borderId="65" xfId="0" applyBorder="1" applyAlignment="1">
      <alignment horizontal="left"/>
    </xf>
    <xf numFmtId="0" fontId="0" fillId="0" borderId="61" xfId="0" applyBorder="1" applyAlignment="1">
      <alignment horizontal="left"/>
    </xf>
    <xf numFmtId="0" fontId="0" fillId="0" borderId="0" xfId="0" applyAlignment="1" applyProtection="1">
      <alignment horizontal="center"/>
    </xf>
    <xf numFmtId="0" fontId="0" fillId="0" borderId="0" xfId="0" applyFill="1"/>
    <xf numFmtId="0" fontId="0" fillId="9" borderId="1" xfId="0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17" fillId="0" borderId="0" xfId="0" applyFont="1"/>
    <xf numFmtId="0" fontId="17" fillId="0" borderId="0" xfId="0" applyFont="1" applyAlignment="1">
      <alignment horizontal="left"/>
    </xf>
    <xf numFmtId="0" fontId="0" fillId="0" borderId="0" xfId="0" applyAlignment="1"/>
    <xf numFmtId="0" fontId="0" fillId="0" borderId="1" xfId="0" applyFill="1" applyBorder="1" applyAlignment="1" applyProtection="1">
      <alignment horizontal="center" vertical="center"/>
      <protection locked="0"/>
    </xf>
    <xf numFmtId="0" fontId="0" fillId="11" borderId="1" xfId="0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16" fillId="0" borderId="75" xfId="0" applyFont="1" applyBorder="1" applyAlignment="1">
      <alignment horizontal="center"/>
    </xf>
    <xf numFmtId="0" fontId="16" fillId="0" borderId="76" xfId="0" applyFont="1" applyFill="1" applyBorder="1" applyAlignment="1">
      <alignment horizontal="center"/>
    </xf>
    <xf numFmtId="0" fontId="16" fillId="0" borderId="83" xfId="0" applyFont="1" applyBorder="1" applyAlignment="1">
      <alignment horizontal="center"/>
    </xf>
    <xf numFmtId="0" fontId="16" fillId="0" borderId="82" xfId="0" applyFont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 applyProtection="1">
      <alignment horizontal="center"/>
    </xf>
    <xf numFmtId="0" fontId="0" fillId="0" borderId="88" xfId="0" applyBorder="1" applyAlignment="1" applyProtection="1">
      <alignment horizontal="center"/>
    </xf>
    <xf numFmtId="0" fontId="0" fillId="0" borderId="89" xfId="0" applyBorder="1" applyAlignment="1" applyProtection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0" xfId="0" applyBorder="1"/>
    <xf numFmtId="0" fontId="11" fillId="0" borderId="0" xfId="0" applyFont="1" applyBorder="1"/>
    <xf numFmtId="0" fontId="0" fillId="12" borderId="90" xfId="0" applyFill="1" applyBorder="1"/>
    <xf numFmtId="0" fontId="0" fillId="12" borderId="91" xfId="0" applyFill="1" applyBorder="1"/>
    <xf numFmtId="0" fontId="0" fillId="12" borderId="92" xfId="0" applyFill="1" applyBorder="1"/>
    <xf numFmtId="0" fontId="0" fillId="12" borderId="73" xfId="0" applyFill="1" applyBorder="1"/>
    <xf numFmtId="0" fontId="0" fillId="12" borderId="0" xfId="0" applyFill="1" applyBorder="1"/>
    <xf numFmtId="0" fontId="0" fillId="12" borderId="0" xfId="0" applyFill="1" applyBorder="1" applyAlignment="1">
      <alignment horizontal="center"/>
    </xf>
    <xf numFmtId="0" fontId="0" fillId="12" borderId="93" xfId="0" applyFill="1" applyBorder="1" applyAlignment="1">
      <alignment horizontal="center"/>
    </xf>
    <xf numFmtId="0" fontId="7" fillId="0" borderId="94" xfId="0" applyFont="1" applyFill="1" applyBorder="1" applyAlignment="1">
      <alignment horizontal="right"/>
    </xf>
    <xf numFmtId="0" fontId="7" fillId="0" borderId="95" xfId="0" applyFont="1" applyFill="1" applyBorder="1" applyAlignment="1">
      <alignment horizontal="center"/>
    </xf>
    <xf numFmtId="0" fontId="11" fillId="12" borderId="0" xfId="0" applyFont="1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0" fontId="7" fillId="0" borderId="97" xfId="0" applyFont="1" applyFill="1" applyBorder="1" applyAlignment="1">
      <alignment horizontal="right"/>
    </xf>
    <xf numFmtId="0" fontId="7" fillId="0" borderId="98" xfId="0" applyFont="1" applyFill="1" applyBorder="1" applyAlignment="1">
      <alignment horizontal="center"/>
    </xf>
    <xf numFmtId="0" fontId="0" fillId="12" borderId="42" xfId="0" applyFill="1" applyBorder="1" applyAlignment="1">
      <alignment horizontal="center"/>
    </xf>
    <xf numFmtId="0" fontId="0" fillId="12" borderId="93" xfId="0" applyFill="1" applyBorder="1"/>
    <xf numFmtId="0" fontId="0" fillId="12" borderId="99" xfId="0" applyFill="1" applyBorder="1" applyAlignment="1">
      <alignment horizontal="center"/>
    </xf>
    <xf numFmtId="0" fontId="0" fillId="12" borderId="100" xfId="0" applyFill="1" applyBorder="1"/>
    <xf numFmtId="0" fontId="0" fillId="12" borderId="101" xfId="0" applyFill="1" applyBorder="1"/>
    <xf numFmtId="0" fontId="0" fillId="12" borderId="102" xfId="0" applyFill="1" applyBorder="1"/>
    <xf numFmtId="164" fontId="0" fillId="0" borderId="96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0" xfId="0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0" fillId="0" borderId="0" xfId="0" applyAlignment="1">
      <alignment horizontal="left"/>
    </xf>
    <xf numFmtId="0" fontId="0" fillId="0" borderId="73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12" fillId="0" borderId="40" xfId="0" applyFont="1" applyBorder="1" applyAlignment="1">
      <alignment horizontal="right" vertical="center"/>
    </xf>
    <xf numFmtId="0" fontId="12" fillId="0" borderId="41" xfId="0" applyFont="1" applyBorder="1" applyAlignment="1">
      <alignment horizontal="right" vertical="center"/>
    </xf>
    <xf numFmtId="0" fontId="12" fillId="0" borderId="40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8" fillId="0" borderId="0" xfId="0" applyFont="1" applyAlignment="1">
      <alignment horizontal="left" wrapText="1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20" fillId="0" borderId="8" xfId="0" applyFont="1" applyBorder="1" applyAlignment="1">
      <alignment horizontal="center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49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43" xfId="0" applyBorder="1" applyAlignment="1">
      <alignment horizontal="left"/>
    </xf>
    <xf numFmtId="0" fontId="14" fillId="0" borderId="44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3" fillId="0" borderId="58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0" fillId="0" borderId="52" xfId="0" applyBorder="1" applyAlignment="1">
      <alignment horizontal="left"/>
    </xf>
    <xf numFmtId="0" fontId="0" fillId="0" borderId="53" xfId="0" applyBorder="1" applyAlignment="1">
      <alignment horizontal="left"/>
    </xf>
    <xf numFmtId="0" fontId="0" fillId="0" borderId="65" xfId="0" applyBorder="1" applyAlignment="1">
      <alignment horizontal="left"/>
    </xf>
    <xf numFmtId="0" fontId="0" fillId="0" borderId="61" xfId="0" applyBorder="1" applyAlignment="1">
      <alignment horizontal="left"/>
    </xf>
    <xf numFmtId="0" fontId="0" fillId="0" borderId="66" xfId="0" applyBorder="1" applyAlignment="1">
      <alignment horizontal="left"/>
    </xf>
    <xf numFmtId="0" fontId="0" fillId="0" borderId="63" xfId="0" applyBorder="1" applyAlignment="1">
      <alignment horizontal="left"/>
    </xf>
    <xf numFmtId="0" fontId="15" fillId="0" borderId="70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72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79" xfId="0" applyFont="1" applyBorder="1" applyAlignment="1">
      <alignment horizontal="center" vertical="center"/>
    </xf>
    <xf numFmtId="0" fontId="0" fillId="0" borderId="80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4" xfId="0" applyBorder="1" applyAlignment="1">
      <alignment horizontal="left"/>
    </xf>
    <xf numFmtId="0" fontId="0" fillId="0" borderId="85" xfId="0" applyBorder="1" applyAlignment="1">
      <alignment horizontal="left"/>
    </xf>
    <xf numFmtId="0" fontId="16" fillId="0" borderId="74" xfId="0" applyFont="1" applyBorder="1" applyAlignment="1">
      <alignment horizontal="left"/>
    </xf>
    <xf numFmtId="0" fontId="16" fillId="0" borderId="75" xfId="0" applyFont="1" applyBorder="1" applyAlignment="1">
      <alignment horizontal="left"/>
    </xf>
    <xf numFmtId="0" fontId="0" fillId="0" borderId="67" xfId="0" applyBorder="1" applyAlignment="1">
      <alignment horizontal="left"/>
    </xf>
    <xf numFmtId="0" fontId="0" fillId="0" borderId="68" xfId="0" applyBorder="1" applyAlignment="1">
      <alignment horizontal="left"/>
    </xf>
    <xf numFmtId="0" fontId="0" fillId="5" borderId="22" xfId="0" applyFill="1" applyBorder="1" applyAlignment="1" applyProtection="1">
      <alignment horizontal="center" wrapText="1"/>
    </xf>
    <xf numFmtId="0" fontId="0" fillId="5" borderId="27" xfId="0" applyFill="1" applyBorder="1" applyAlignment="1" applyProtection="1">
      <alignment horizontal="center" wrapText="1"/>
    </xf>
    <xf numFmtId="0" fontId="0" fillId="5" borderId="25" xfId="0" applyFill="1" applyBorder="1" applyAlignment="1" applyProtection="1">
      <alignment horizontal="center" wrapText="1"/>
    </xf>
    <xf numFmtId="0" fontId="0" fillId="4" borderId="22" xfId="0" applyFill="1" applyBorder="1" applyAlignment="1" applyProtection="1">
      <alignment horizontal="right"/>
    </xf>
    <xf numFmtId="0" fontId="0" fillId="4" borderId="23" xfId="0" applyFill="1" applyBorder="1" applyAlignment="1" applyProtection="1">
      <alignment horizontal="right"/>
    </xf>
    <xf numFmtId="0" fontId="0" fillId="0" borderId="0" xfId="0" applyAlignment="1" applyProtection="1">
      <alignment horizontal="center"/>
    </xf>
    <xf numFmtId="0" fontId="0" fillId="6" borderId="22" xfId="0" applyFill="1" applyBorder="1" applyAlignment="1" applyProtection="1">
      <alignment horizontal="right"/>
    </xf>
    <xf numFmtId="0" fontId="0" fillId="6" borderId="23" xfId="0" applyFill="1" applyBorder="1" applyAlignment="1" applyProtection="1">
      <alignment horizontal="right"/>
    </xf>
    <xf numFmtId="0" fontId="5" fillId="0" borderId="4" xfId="0" applyFont="1" applyBorder="1" applyAlignment="1" applyProtection="1">
      <alignment horizontal="center" vertical="center" textRotation="90"/>
    </xf>
    <xf numFmtId="0" fontId="5" fillId="0" borderId="5" xfId="0" applyFont="1" applyBorder="1" applyAlignment="1" applyProtection="1">
      <alignment horizontal="center" vertical="center" textRotation="90"/>
    </xf>
    <xf numFmtId="0" fontId="5" fillId="0" borderId="7" xfId="0" applyFont="1" applyBorder="1" applyAlignment="1" applyProtection="1">
      <alignment horizontal="center" vertical="center" textRotation="90"/>
    </xf>
    <xf numFmtId="0" fontId="2" fillId="0" borderId="0" xfId="0" applyFont="1" applyAlignment="1" applyProtection="1">
      <alignment horizontal="center" vertical="center"/>
    </xf>
    <xf numFmtId="0" fontId="6" fillId="0" borderId="4" xfId="0" applyFont="1" applyBorder="1" applyAlignment="1" applyProtection="1">
      <alignment horizontal="center" vertical="center" textRotation="90"/>
    </xf>
    <xf numFmtId="0" fontId="6" fillId="0" borderId="5" xfId="0" applyFont="1" applyBorder="1" applyAlignment="1" applyProtection="1">
      <alignment horizontal="center" vertical="center" textRotation="90"/>
    </xf>
    <xf numFmtId="0" fontId="6" fillId="0" borderId="7" xfId="0" applyFont="1" applyBorder="1" applyAlignment="1" applyProtection="1">
      <alignment horizontal="center" vertical="center" textRotation="90"/>
    </xf>
  </cellXfs>
  <cellStyles count="1">
    <cellStyle name="normálne" xfId="0" builtinId="0"/>
  </cellStyles>
  <dxfs count="18"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EBFA50"/>
        </patternFill>
      </fill>
    </dxf>
    <dxf>
      <fill>
        <patternFill>
          <bgColor rgb="FFFFFF00"/>
        </patternFill>
      </fill>
    </dxf>
    <dxf>
      <fill>
        <patternFill>
          <bgColor rgb="FFC8F064"/>
        </patternFill>
      </fill>
    </dxf>
    <dxf>
      <fill>
        <patternFill>
          <bgColor rgb="FFC8F064"/>
        </patternFill>
      </fill>
    </dxf>
    <dxf>
      <fill>
        <patternFill>
          <bgColor rgb="FFC8F064"/>
        </patternFill>
      </fill>
    </dxf>
    <dxf>
      <fill>
        <patternFill>
          <bgColor rgb="FFC8F064"/>
        </patternFill>
      </fill>
    </dxf>
    <dxf>
      <fill>
        <patternFill>
          <bgColor rgb="FFDCEF67"/>
        </patternFill>
      </fill>
    </dxf>
  </dxfs>
  <tableStyles count="0" defaultTableStyle="TableStyleMedium9" defaultPivotStyle="PivotStyleLight16"/>
  <colors>
    <mruColors>
      <color rgb="FFEBFA50"/>
      <color rgb="FFC8F064"/>
      <color rgb="FFF3FE66"/>
      <color rgb="FFDCEF67"/>
      <color rgb="FFDEE85A"/>
      <color rgb="FF99F35B"/>
      <color rgb="FF0000FF"/>
      <color rgb="FFA20649"/>
      <color rgb="FF015F25"/>
      <color rgb="FF7BE17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26" Type="http://schemas.openxmlformats.org/officeDocument/2006/relationships/image" Target="../media/image38.png"/><Relationship Id="rId39" Type="http://schemas.openxmlformats.org/officeDocument/2006/relationships/image" Target="../media/image51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34" Type="http://schemas.openxmlformats.org/officeDocument/2006/relationships/image" Target="../media/image46.png"/><Relationship Id="rId42" Type="http://schemas.openxmlformats.org/officeDocument/2006/relationships/image" Target="../media/image54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5" Type="http://schemas.openxmlformats.org/officeDocument/2006/relationships/image" Target="../media/image37.png"/><Relationship Id="rId33" Type="http://schemas.openxmlformats.org/officeDocument/2006/relationships/image" Target="../media/image45.png"/><Relationship Id="rId38" Type="http://schemas.openxmlformats.org/officeDocument/2006/relationships/image" Target="../media/image50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29" Type="http://schemas.openxmlformats.org/officeDocument/2006/relationships/image" Target="../media/image41.png"/><Relationship Id="rId41" Type="http://schemas.openxmlformats.org/officeDocument/2006/relationships/image" Target="../media/image53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36.png"/><Relationship Id="rId32" Type="http://schemas.openxmlformats.org/officeDocument/2006/relationships/image" Target="../media/image44.png"/><Relationship Id="rId37" Type="http://schemas.openxmlformats.org/officeDocument/2006/relationships/image" Target="../media/image49.png"/><Relationship Id="rId40" Type="http://schemas.openxmlformats.org/officeDocument/2006/relationships/image" Target="../media/image52.png"/><Relationship Id="rId45" Type="http://schemas.openxmlformats.org/officeDocument/2006/relationships/image" Target="../media/image57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23" Type="http://schemas.openxmlformats.org/officeDocument/2006/relationships/image" Target="../media/image35.png"/><Relationship Id="rId28" Type="http://schemas.openxmlformats.org/officeDocument/2006/relationships/image" Target="../media/image40.png"/><Relationship Id="rId36" Type="http://schemas.openxmlformats.org/officeDocument/2006/relationships/image" Target="../media/image48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31" Type="http://schemas.openxmlformats.org/officeDocument/2006/relationships/image" Target="../media/image43.png"/><Relationship Id="rId44" Type="http://schemas.openxmlformats.org/officeDocument/2006/relationships/image" Target="../media/image56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4.png"/><Relationship Id="rId27" Type="http://schemas.openxmlformats.org/officeDocument/2006/relationships/image" Target="../media/image39.png"/><Relationship Id="rId30" Type="http://schemas.openxmlformats.org/officeDocument/2006/relationships/image" Target="../media/image42.png"/><Relationship Id="rId35" Type="http://schemas.openxmlformats.org/officeDocument/2006/relationships/image" Target="../media/image47.png"/><Relationship Id="rId43" Type="http://schemas.openxmlformats.org/officeDocument/2006/relationships/image" Target="../media/image5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60.png"/><Relationship Id="rId7" Type="http://schemas.openxmlformats.org/officeDocument/2006/relationships/image" Target="../media/image3.png"/><Relationship Id="rId12" Type="http://schemas.openxmlformats.org/officeDocument/2006/relationships/image" Target="../media/image8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2.png"/><Relationship Id="rId11" Type="http://schemas.openxmlformats.org/officeDocument/2006/relationships/image" Target="../media/image7.png"/><Relationship Id="rId5" Type="http://schemas.openxmlformats.org/officeDocument/2006/relationships/image" Target="../media/image1.png"/><Relationship Id="rId10" Type="http://schemas.openxmlformats.org/officeDocument/2006/relationships/image" Target="../media/image6.png"/><Relationship Id="rId4" Type="http://schemas.openxmlformats.org/officeDocument/2006/relationships/image" Target="../media/image61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4</xdr:row>
      <xdr:rowOff>57150</xdr:rowOff>
    </xdr:from>
    <xdr:to>
      <xdr:col>1</xdr:col>
      <xdr:colOff>482110</xdr:colOff>
      <xdr:row>21</xdr:row>
      <xdr:rowOff>122384</xdr:rowOff>
    </xdr:to>
    <xdr:pic>
      <xdr:nvPicPr>
        <xdr:cNvPr id="1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695325"/>
          <a:ext cx="358285" cy="3322784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>
      <xdr:col>2</xdr:col>
      <xdr:colOff>123825</xdr:colOff>
      <xdr:row>4</xdr:row>
      <xdr:rowOff>57150</xdr:rowOff>
    </xdr:from>
    <xdr:to>
      <xdr:col>2</xdr:col>
      <xdr:colOff>466863</xdr:colOff>
      <xdr:row>21</xdr:row>
      <xdr:rowOff>122384</xdr:rowOff>
    </xdr:to>
    <xdr:pic>
      <xdr:nvPicPr>
        <xdr:cNvPr id="1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025" y="695325"/>
          <a:ext cx="343038" cy="3322784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>
      <xdr:col>3</xdr:col>
      <xdr:colOff>123825</xdr:colOff>
      <xdr:row>4</xdr:row>
      <xdr:rowOff>57150</xdr:rowOff>
    </xdr:from>
    <xdr:to>
      <xdr:col>3</xdr:col>
      <xdr:colOff>489539</xdr:colOff>
      <xdr:row>21</xdr:row>
      <xdr:rowOff>122384</xdr:rowOff>
    </xdr:to>
    <xdr:pic>
      <xdr:nvPicPr>
        <xdr:cNvPr id="1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52625" y="695325"/>
          <a:ext cx="365714" cy="3322784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>
      <xdr:col>4</xdr:col>
      <xdr:colOff>123825</xdr:colOff>
      <xdr:row>4</xdr:row>
      <xdr:rowOff>57150</xdr:rowOff>
    </xdr:from>
    <xdr:to>
      <xdr:col>4</xdr:col>
      <xdr:colOff>451531</xdr:colOff>
      <xdr:row>21</xdr:row>
      <xdr:rowOff>122384</xdr:rowOff>
    </xdr:to>
    <xdr:pic>
      <xdr:nvPicPr>
        <xdr:cNvPr id="1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62225" y="695325"/>
          <a:ext cx="327706" cy="3322784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>
      <xdr:col>5</xdr:col>
      <xdr:colOff>123825</xdr:colOff>
      <xdr:row>4</xdr:row>
      <xdr:rowOff>57150</xdr:rowOff>
    </xdr:from>
    <xdr:to>
      <xdr:col>5</xdr:col>
      <xdr:colOff>482110</xdr:colOff>
      <xdr:row>21</xdr:row>
      <xdr:rowOff>122384</xdr:rowOff>
    </xdr:to>
    <xdr:pic>
      <xdr:nvPicPr>
        <xdr:cNvPr id="1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71825" y="695325"/>
          <a:ext cx="358285" cy="3322784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>
      <xdr:col>6</xdr:col>
      <xdr:colOff>123825</xdr:colOff>
      <xdr:row>4</xdr:row>
      <xdr:rowOff>57150</xdr:rowOff>
    </xdr:from>
    <xdr:to>
      <xdr:col>6</xdr:col>
      <xdr:colOff>497059</xdr:colOff>
      <xdr:row>21</xdr:row>
      <xdr:rowOff>129124</xdr:rowOff>
    </xdr:to>
    <xdr:pic>
      <xdr:nvPicPr>
        <xdr:cNvPr id="1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81425" y="695325"/>
          <a:ext cx="373234" cy="3329524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>
      <xdr:col>7</xdr:col>
      <xdr:colOff>123825</xdr:colOff>
      <xdr:row>4</xdr:row>
      <xdr:rowOff>57150</xdr:rowOff>
    </xdr:from>
    <xdr:to>
      <xdr:col>7</xdr:col>
      <xdr:colOff>497059</xdr:colOff>
      <xdr:row>21</xdr:row>
      <xdr:rowOff>152868</xdr:rowOff>
    </xdr:to>
    <xdr:pic>
      <xdr:nvPicPr>
        <xdr:cNvPr id="1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695325"/>
          <a:ext cx="373234" cy="3353268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>
      <xdr:col>8</xdr:col>
      <xdr:colOff>123825</xdr:colOff>
      <xdr:row>4</xdr:row>
      <xdr:rowOff>57150</xdr:rowOff>
    </xdr:from>
    <xdr:to>
      <xdr:col>8</xdr:col>
      <xdr:colOff>497059</xdr:colOff>
      <xdr:row>21</xdr:row>
      <xdr:rowOff>122384</xdr:rowOff>
    </xdr:to>
    <xdr:pic>
      <xdr:nvPicPr>
        <xdr:cNvPr id="1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00625" y="695325"/>
          <a:ext cx="373234" cy="3322784"/>
        </a:xfrm>
        <a:prstGeom prst="rect">
          <a:avLst/>
        </a:prstGeom>
        <a:noFill/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>
      <xdr:col>10</xdr:col>
      <xdr:colOff>209550</xdr:colOff>
      <xdr:row>4</xdr:row>
      <xdr:rowOff>57150</xdr:rowOff>
    </xdr:from>
    <xdr:to>
      <xdr:col>12</xdr:col>
      <xdr:colOff>47625</xdr:colOff>
      <xdr:row>14</xdr:row>
      <xdr:rowOff>104775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305550" y="695325"/>
          <a:ext cx="1057275" cy="19526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209550</xdr:colOff>
      <xdr:row>4</xdr:row>
      <xdr:rowOff>57150</xdr:rowOff>
    </xdr:from>
    <xdr:to>
      <xdr:col>15</xdr:col>
      <xdr:colOff>95250</xdr:colOff>
      <xdr:row>14</xdr:row>
      <xdr:rowOff>85725</xdr:rowOff>
    </xdr:to>
    <xdr:pic>
      <xdr:nvPicPr>
        <xdr:cNvPr id="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839075" y="695325"/>
          <a:ext cx="1104900" cy="19335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209550</xdr:colOff>
      <xdr:row>4</xdr:row>
      <xdr:rowOff>57150</xdr:rowOff>
    </xdr:from>
    <xdr:to>
      <xdr:col>18</xdr:col>
      <xdr:colOff>133350</xdr:colOff>
      <xdr:row>14</xdr:row>
      <xdr:rowOff>104775</xdr:rowOff>
    </xdr:to>
    <xdr:pic>
      <xdr:nvPicPr>
        <xdr:cNvPr id="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372600" y="695325"/>
          <a:ext cx="1143000" cy="195262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209550</xdr:colOff>
      <xdr:row>4</xdr:row>
      <xdr:rowOff>57150</xdr:rowOff>
    </xdr:from>
    <xdr:to>
      <xdr:col>21</xdr:col>
      <xdr:colOff>171450</xdr:colOff>
      <xdr:row>14</xdr:row>
      <xdr:rowOff>104775</xdr:rowOff>
    </xdr:to>
    <xdr:pic>
      <xdr:nvPicPr>
        <xdr:cNvPr id="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06125" y="695325"/>
          <a:ext cx="1181100" cy="19526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314325</xdr:colOff>
      <xdr:row>11</xdr:row>
      <xdr:rowOff>28575</xdr:rowOff>
    </xdr:to>
    <xdr:pic>
      <xdr:nvPicPr>
        <xdr:cNvPr id="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190500"/>
          <a:ext cx="1457325" cy="1933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5</xdr:col>
      <xdr:colOff>213</xdr:colOff>
      <xdr:row>19</xdr:row>
      <xdr:rowOff>190357</xdr:rowOff>
    </xdr:to>
    <xdr:pic>
      <xdr:nvPicPr>
        <xdr:cNvPr id="9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0" y="22860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323850</xdr:colOff>
      <xdr:row>18</xdr:row>
      <xdr:rowOff>161925</xdr:rowOff>
    </xdr:from>
    <xdr:to>
      <xdr:col>6</xdr:col>
      <xdr:colOff>347517</xdr:colOff>
      <xdr:row>19</xdr:row>
      <xdr:rowOff>184871</xdr:rowOff>
    </xdr:to>
    <xdr:pic>
      <xdr:nvPicPr>
        <xdr:cNvPr id="9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66850" y="3209925"/>
          <a:ext cx="1166667" cy="2134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5</xdr:col>
      <xdr:colOff>213</xdr:colOff>
      <xdr:row>28</xdr:row>
      <xdr:rowOff>190357</xdr:rowOff>
    </xdr:to>
    <xdr:pic>
      <xdr:nvPicPr>
        <xdr:cNvPr id="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" y="36195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95249</xdr:colOff>
      <xdr:row>27</xdr:row>
      <xdr:rowOff>152399</xdr:rowOff>
    </xdr:from>
    <xdr:to>
      <xdr:col>6</xdr:col>
      <xdr:colOff>159235</xdr:colOff>
      <xdr:row>28</xdr:row>
      <xdr:rowOff>175345</xdr:rowOff>
    </xdr:to>
    <xdr:pic>
      <xdr:nvPicPr>
        <xdr:cNvPr id="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8249" y="4533899"/>
          <a:ext cx="1206986" cy="2134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5</xdr:col>
      <xdr:colOff>213</xdr:colOff>
      <xdr:row>35</xdr:row>
      <xdr:rowOff>190357</xdr:rowOff>
    </xdr:to>
    <xdr:pic>
      <xdr:nvPicPr>
        <xdr:cNvPr id="1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0" y="49530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57150</xdr:colOff>
      <xdr:row>34</xdr:row>
      <xdr:rowOff>133350</xdr:rowOff>
    </xdr:from>
    <xdr:to>
      <xdr:col>8</xdr:col>
      <xdr:colOff>85725</xdr:colOff>
      <xdr:row>35</xdr:row>
      <xdr:rowOff>152400</xdr:rowOff>
    </xdr:to>
    <xdr:pic>
      <xdr:nvPicPr>
        <xdr:cNvPr id="1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81150" y="5848350"/>
          <a:ext cx="1552575" cy="2095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13</xdr:col>
      <xdr:colOff>213</xdr:colOff>
      <xdr:row>35</xdr:row>
      <xdr:rowOff>190357</xdr:rowOff>
    </xdr:to>
    <xdr:pic>
      <xdr:nvPicPr>
        <xdr:cNvPr id="1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29000" y="49530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12</xdr:col>
      <xdr:colOff>47624</xdr:colOff>
      <xdr:row>34</xdr:row>
      <xdr:rowOff>133349</xdr:rowOff>
    </xdr:from>
    <xdr:to>
      <xdr:col>16</xdr:col>
      <xdr:colOff>76199</xdr:colOff>
      <xdr:row>35</xdr:row>
      <xdr:rowOff>152399</xdr:rowOff>
    </xdr:to>
    <xdr:pic>
      <xdr:nvPicPr>
        <xdr:cNvPr id="5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19624" y="5848349"/>
          <a:ext cx="1552575" cy="2095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21</xdr:col>
      <xdr:colOff>213</xdr:colOff>
      <xdr:row>35</xdr:row>
      <xdr:rowOff>190357</xdr:rowOff>
    </xdr:to>
    <xdr:pic>
      <xdr:nvPicPr>
        <xdr:cNvPr id="1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77000" y="49530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19</xdr:col>
      <xdr:colOff>114299</xdr:colOff>
      <xdr:row>34</xdr:row>
      <xdr:rowOff>142874</xdr:rowOff>
    </xdr:from>
    <xdr:to>
      <xdr:col>23</xdr:col>
      <xdr:colOff>316999</xdr:colOff>
      <xdr:row>35</xdr:row>
      <xdr:rowOff>165820</xdr:rowOff>
    </xdr:to>
    <xdr:pic>
      <xdr:nvPicPr>
        <xdr:cNvPr id="6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53299" y="5857874"/>
          <a:ext cx="1460000" cy="213446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0</xdr:colOff>
      <xdr:row>30</xdr:row>
      <xdr:rowOff>0</xdr:rowOff>
    </xdr:from>
    <xdr:to>
      <xdr:col>28</xdr:col>
      <xdr:colOff>266914</xdr:colOff>
      <xdr:row>35</xdr:row>
      <xdr:rowOff>190357</xdr:rowOff>
    </xdr:to>
    <xdr:pic>
      <xdr:nvPicPr>
        <xdr:cNvPr id="12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877300" y="49530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27</xdr:col>
      <xdr:colOff>9525</xdr:colOff>
      <xdr:row>34</xdr:row>
      <xdr:rowOff>142874</xdr:rowOff>
    </xdr:from>
    <xdr:to>
      <xdr:col>33</xdr:col>
      <xdr:colOff>110785</xdr:colOff>
      <xdr:row>35</xdr:row>
      <xdr:rowOff>165820</xdr:rowOff>
    </xdr:to>
    <xdr:pic>
      <xdr:nvPicPr>
        <xdr:cNvPr id="6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763125" y="5857874"/>
          <a:ext cx="2120561" cy="2134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5</xdr:col>
      <xdr:colOff>213</xdr:colOff>
      <xdr:row>42</xdr:row>
      <xdr:rowOff>190357</xdr:rowOff>
    </xdr:to>
    <xdr:pic>
      <xdr:nvPicPr>
        <xdr:cNvPr id="1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000" y="62865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285749</xdr:colOff>
      <xdr:row>41</xdr:row>
      <xdr:rowOff>152399</xdr:rowOff>
    </xdr:from>
    <xdr:to>
      <xdr:col>9</xdr:col>
      <xdr:colOff>126416</xdr:colOff>
      <xdr:row>42</xdr:row>
      <xdr:rowOff>175345</xdr:rowOff>
    </xdr:to>
    <xdr:pic>
      <xdr:nvPicPr>
        <xdr:cNvPr id="6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28749" y="7200899"/>
          <a:ext cx="2126667" cy="213446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14</xdr:col>
      <xdr:colOff>213</xdr:colOff>
      <xdr:row>42</xdr:row>
      <xdr:rowOff>190357</xdr:rowOff>
    </xdr:to>
    <xdr:pic>
      <xdr:nvPicPr>
        <xdr:cNvPr id="12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00" y="62865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12</xdr:col>
      <xdr:colOff>285749</xdr:colOff>
      <xdr:row>41</xdr:row>
      <xdr:rowOff>142874</xdr:rowOff>
    </xdr:from>
    <xdr:to>
      <xdr:col>17</xdr:col>
      <xdr:colOff>147416</xdr:colOff>
      <xdr:row>42</xdr:row>
      <xdr:rowOff>165820</xdr:rowOff>
    </xdr:to>
    <xdr:pic>
      <xdr:nvPicPr>
        <xdr:cNvPr id="6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857749" y="7191374"/>
          <a:ext cx="1766667" cy="2134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4</xdr:col>
      <xdr:colOff>358681</xdr:colOff>
      <xdr:row>50</xdr:row>
      <xdr:rowOff>1800</xdr:rowOff>
    </xdr:to>
    <xdr:pic>
      <xdr:nvPicPr>
        <xdr:cNvPr id="12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0" y="7620000"/>
          <a:ext cx="1501681" cy="1144800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123824</xdr:colOff>
      <xdr:row>48</xdr:row>
      <xdr:rowOff>133350</xdr:rowOff>
    </xdr:from>
    <xdr:to>
      <xdr:col>8</xdr:col>
      <xdr:colOff>95249</xdr:colOff>
      <xdr:row>49</xdr:row>
      <xdr:rowOff>152400</xdr:rowOff>
    </xdr:to>
    <xdr:pic>
      <xdr:nvPicPr>
        <xdr:cNvPr id="7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66824" y="8515350"/>
          <a:ext cx="1876425" cy="2095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13</xdr:col>
      <xdr:colOff>11806</xdr:colOff>
      <xdr:row>50</xdr:row>
      <xdr:rowOff>1800</xdr:rowOff>
    </xdr:to>
    <xdr:pic>
      <xdr:nvPicPr>
        <xdr:cNvPr id="12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429000" y="7620000"/>
          <a:ext cx="1535806" cy="1144800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219075</xdr:colOff>
      <xdr:row>48</xdr:row>
      <xdr:rowOff>142875</xdr:rowOff>
    </xdr:from>
    <xdr:to>
      <xdr:col>17</xdr:col>
      <xdr:colOff>247650</xdr:colOff>
      <xdr:row>49</xdr:row>
      <xdr:rowOff>161925</xdr:rowOff>
    </xdr:to>
    <xdr:pic>
      <xdr:nvPicPr>
        <xdr:cNvPr id="7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410075" y="8524875"/>
          <a:ext cx="2314575" cy="2095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246530</xdr:colOff>
      <xdr:row>1</xdr:row>
      <xdr:rowOff>11206</xdr:rowOff>
    </xdr:from>
    <xdr:to>
      <xdr:col>7</xdr:col>
      <xdr:colOff>246743</xdr:colOff>
      <xdr:row>7</xdr:row>
      <xdr:rowOff>11063</xdr:rowOff>
    </xdr:to>
    <xdr:pic>
      <xdr:nvPicPr>
        <xdr:cNvPr id="5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89530" y="201706"/>
          <a:ext cx="1524213" cy="1142857"/>
        </a:xfrm>
        <a:prstGeom prst="rect">
          <a:avLst/>
        </a:prstGeom>
        <a:noFill/>
        <a:ln w="63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11</xdr:col>
      <xdr:colOff>304800</xdr:colOff>
      <xdr:row>11</xdr:row>
      <xdr:rowOff>9525</xdr:rowOff>
    </xdr:to>
    <xdr:pic>
      <xdr:nvPicPr>
        <xdr:cNvPr id="5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48000" y="190500"/>
          <a:ext cx="1447800" cy="19145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313765</xdr:colOff>
      <xdr:row>1</xdr:row>
      <xdr:rowOff>11206</xdr:rowOff>
    </xdr:from>
    <xdr:to>
      <xdr:col>14</xdr:col>
      <xdr:colOff>313978</xdr:colOff>
      <xdr:row>7</xdr:row>
      <xdr:rowOff>11063</xdr:rowOff>
    </xdr:to>
    <xdr:pic>
      <xdr:nvPicPr>
        <xdr:cNvPr id="5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23765" y="201706"/>
          <a:ext cx="1524213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18</xdr:col>
      <xdr:colOff>304800</xdr:colOff>
      <xdr:row>11</xdr:row>
      <xdr:rowOff>19050</xdr:rowOff>
    </xdr:to>
    <xdr:pic>
      <xdr:nvPicPr>
        <xdr:cNvPr id="6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00" y="190500"/>
          <a:ext cx="1447800" cy="19240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246529</xdr:colOff>
      <xdr:row>1</xdr:row>
      <xdr:rowOff>1</xdr:rowOff>
    </xdr:from>
    <xdr:to>
      <xdr:col>22</xdr:col>
      <xdr:colOff>134683</xdr:colOff>
      <xdr:row>6</xdr:row>
      <xdr:rowOff>190358</xdr:rowOff>
    </xdr:to>
    <xdr:pic>
      <xdr:nvPicPr>
        <xdr:cNvPr id="9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723529" y="190501"/>
          <a:ext cx="1524213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27</xdr:col>
      <xdr:colOff>192742</xdr:colOff>
      <xdr:row>11</xdr:row>
      <xdr:rowOff>19050</xdr:rowOff>
    </xdr:to>
    <xdr:pic>
      <xdr:nvPicPr>
        <xdr:cNvPr id="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94059" y="190500"/>
          <a:ext cx="1447800" cy="1924050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246530</xdr:colOff>
      <xdr:row>1</xdr:row>
      <xdr:rowOff>0</xdr:rowOff>
    </xdr:from>
    <xdr:to>
      <xdr:col>30</xdr:col>
      <xdr:colOff>134685</xdr:colOff>
      <xdr:row>6</xdr:row>
      <xdr:rowOff>190357</xdr:rowOff>
    </xdr:to>
    <xdr:pic>
      <xdr:nvPicPr>
        <xdr:cNvPr id="6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02589" y="190500"/>
          <a:ext cx="1524213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336176</xdr:colOff>
      <xdr:row>12</xdr:row>
      <xdr:rowOff>44824</xdr:rowOff>
    </xdr:from>
    <xdr:to>
      <xdr:col>8</xdr:col>
      <xdr:colOff>334148</xdr:colOff>
      <xdr:row>18</xdr:row>
      <xdr:rowOff>44681</xdr:rowOff>
    </xdr:to>
    <xdr:pic>
      <xdr:nvPicPr>
        <xdr:cNvPr id="65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860176" y="2330824"/>
          <a:ext cx="1521972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13</xdr:col>
      <xdr:colOff>213</xdr:colOff>
      <xdr:row>19</xdr:row>
      <xdr:rowOff>190357</xdr:rowOff>
    </xdr:to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29000" y="26670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133350</xdr:colOff>
      <xdr:row>18</xdr:row>
      <xdr:rowOff>152400</xdr:rowOff>
    </xdr:from>
    <xdr:to>
      <xdr:col>14</xdr:col>
      <xdr:colOff>110350</xdr:colOff>
      <xdr:row>19</xdr:row>
      <xdr:rowOff>175346</xdr:rowOff>
    </xdr:to>
    <xdr:pic>
      <xdr:nvPicPr>
        <xdr:cNvPr id="6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24350" y="3581400"/>
          <a:ext cx="1120000" cy="21344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324971</xdr:colOff>
      <xdr:row>12</xdr:row>
      <xdr:rowOff>44823</xdr:rowOff>
    </xdr:from>
    <xdr:to>
      <xdr:col>16</xdr:col>
      <xdr:colOff>322943</xdr:colOff>
      <xdr:row>18</xdr:row>
      <xdr:rowOff>44680</xdr:rowOff>
    </xdr:to>
    <xdr:pic>
      <xdr:nvPicPr>
        <xdr:cNvPr id="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896971" y="2330823"/>
          <a:ext cx="1521972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21</xdr:col>
      <xdr:colOff>213</xdr:colOff>
      <xdr:row>19</xdr:row>
      <xdr:rowOff>190357</xdr:rowOff>
    </xdr:to>
    <xdr:pic>
      <xdr:nvPicPr>
        <xdr:cNvPr id="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477000" y="26670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19</xdr:col>
      <xdr:colOff>9525</xdr:colOff>
      <xdr:row>18</xdr:row>
      <xdr:rowOff>142875</xdr:rowOff>
    </xdr:from>
    <xdr:to>
      <xdr:col>22</xdr:col>
      <xdr:colOff>335783</xdr:colOff>
      <xdr:row>19</xdr:row>
      <xdr:rowOff>165821</xdr:rowOff>
    </xdr:to>
    <xdr:pic>
      <xdr:nvPicPr>
        <xdr:cNvPr id="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48525" y="3571875"/>
          <a:ext cx="1200317" cy="213446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336176</xdr:colOff>
      <xdr:row>12</xdr:row>
      <xdr:rowOff>33618</xdr:rowOff>
    </xdr:from>
    <xdr:to>
      <xdr:col>25</xdr:col>
      <xdr:colOff>222088</xdr:colOff>
      <xdr:row>18</xdr:row>
      <xdr:rowOff>33475</xdr:rowOff>
    </xdr:to>
    <xdr:pic>
      <xdr:nvPicPr>
        <xdr:cNvPr id="4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956176" y="2319618"/>
          <a:ext cx="1521971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347383</xdr:colOff>
      <xdr:row>21</xdr:row>
      <xdr:rowOff>22412</xdr:rowOff>
    </xdr:from>
    <xdr:to>
      <xdr:col>8</xdr:col>
      <xdr:colOff>345354</xdr:colOff>
      <xdr:row>27</xdr:row>
      <xdr:rowOff>22269</xdr:rowOff>
    </xdr:to>
    <xdr:pic>
      <xdr:nvPicPr>
        <xdr:cNvPr id="7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871383" y="4022912"/>
          <a:ext cx="1521971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13</xdr:col>
      <xdr:colOff>213</xdr:colOff>
      <xdr:row>28</xdr:row>
      <xdr:rowOff>190357</xdr:rowOff>
    </xdr:to>
    <xdr:pic>
      <xdr:nvPicPr>
        <xdr:cNvPr id="7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429000" y="43815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114300</xdr:colOff>
      <xdr:row>27</xdr:row>
      <xdr:rowOff>133349</xdr:rowOff>
    </xdr:from>
    <xdr:to>
      <xdr:col>16</xdr:col>
      <xdr:colOff>115967</xdr:colOff>
      <xdr:row>28</xdr:row>
      <xdr:rowOff>156295</xdr:rowOff>
    </xdr:to>
    <xdr:pic>
      <xdr:nvPicPr>
        <xdr:cNvPr id="7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305300" y="5276849"/>
          <a:ext cx="1906667" cy="21344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347382</xdr:colOff>
      <xdr:row>21</xdr:row>
      <xdr:rowOff>22412</xdr:rowOff>
    </xdr:from>
    <xdr:to>
      <xdr:col>16</xdr:col>
      <xdr:colOff>345354</xdr:colOff>
      <xdr:row>27</xdr:row>
      <xdr:rowOff>22269</xdr:rowOff>
    </xdr:to>
    <xdr:pic>
      <xdr:nvPicPr>
        <xdr:cNvPr id="5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919382" y="4022912"/>
          <a:ext cx="1521972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21</xdr:col>
      <xdr:colOff>213</xdr:colOff>
      <xdr:row>28</xdr:row>
      <xdr:rowOff>190357</xdr:rowOff>
    </xdr:to>
    <xdr:pic>
      <xdr:nvPicPr>
        <xdr:cNvPr id="7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477000" y="43815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18</xdr:col>
      <xdr:colOff>276225</xdr:colOff>
      <xdr:row>27</xdr:row>
      <xdr:rowOff>133349</xdr:rowOff>
    </xdr:from>
    <xdr:to>
      <xdr:col>23</xdr:col>
      <xdr:colOff>293937</xdr:colOff>
      <xdr:row>28</xdr:row>
      <xdr:rowOff>156295</xdr:rowOff>
    </xdr:to>
    <xdr:pic>
      <xdr:nvPicPr>
        <xdr:cNvPr id="7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134225" y="5276849"/>
          <a:ext cx="1653771" cy="213446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336177</xdr:colOff>
      <xdr:row>21</xdr:row>
      <xdr:rowOff>22412</xdr:rowOff>
    </xdr:from>
    <xdr:to>
      <xdr:col>25</xdr:col>
      <xdr:colOff>224331</xdr:colOff>
      <xdr:row>27</xdr:row>
      <xdr:rowOff>22269</xdr:rowOff>
    </xdr:to>
    <xdr:pic>
      <xdr:nvPicPr>
        <xdr:cNvPr id="5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956177" y="4022912"/>
          <a:ext cx="1524213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30</xdr:col>
      <xdr:colOff>269155</xdr:colOff>
      <xdr:row>28</xdr:row>
      <xdr:rowOff>190357</xdr:rowOff>
    </xdr:to>
    <xdr:pic>
      <xdr:nvPicPr>
        <xdr:cNvPr id="8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637059" y="4381500"/>
          <a:ext cx="1524213" cy="1142857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28</xdr:col>
      <xdr:colOff>126065</xdr:colOff>
      <xdr:row>27</xdr:row>
      <xdr:rowOff>142874</xdr:rowOff>
    </xdr:from>
    <xdr:to>
      <xdr:col>34</xdr:col>
      <xdr:colOff>180647</xdr:colOff>
      <xdr:row>28</xdr:row>
      <xdr:rowOff>165820</xdr:rowOff>
    </xdr:to>
    <xdr:pic>
      <xdr:nvPicPr>
        <xdr:cNvPr id="8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256183" y="5286374"/>
          <a:ext cx="2071641" cy="213446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224117</xdr:colOff>
      <xdr:row>21</xdr:row>
      <xdr:rowOff>22412</xdr:rowOff>
    </xdr:from>
    <xdr:to>
      <xdr:col>35</xdr:col>
      <xdr:colOff>112271</xdr:colOff>
      <xdr:row>27</xdr:row>
      <xdr:rowOff>22269</xdr:rowOff>
    </xdr:to>
    <xdr:pic>
      <xdr:nvPicPr>
        <xdr:cNvPr id="5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116235" y="4022912"/>
          <a:ext cx="1524213" cy="1142857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28</xdr:row>
      <xdr:rowOff>95250</xdr:rowOff>
    </xdr:from>
    <xdr:to>
      <xdr:col>3</xdr:col>
      <xdr:colOff>504824</xdr:colOff>
      <xdr:row>38</xdr:row>
      <xdr:rowOff>100011</xdr:rowOff>
    </xdr:to>
    <xdr:pic>
      <xdr:nvPicPr>
        <xdr:cNvPr id="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7391400"/>
          <a:ext cx="2571749" cy="19288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104774</xdr:colOff>
      <xdr:row>28</xdr:row>
      <xdr:rowOff>85724</xdr:rowOff>
    </xdr:from>
    <xdr:to>
      <xdr:col>7</xdr:col>
      <xdr:colOff>492123</xdr:colOff>
      <xdr:row>38</xdr:row>
      <xdr:rowOff>95249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38549" y="7381874"/>
          <a:ext cx="2578099" cy="1933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123825</xdr:colOff>
      <xdr:row>28</xdr:row>
      <xdr:rowOff>83344</xdr:rowOff>
    </xdr:from>
    <xdr:to>
      <xdr:col>11</xdr:col>
      <xdr:colOff>514350</xdr:colOff>
      <xdr:row>38</xdr:row>
      <xdr:rowOff>95250</xdr:rowOff>
    </xdr:to>
    <xdr:pic>
      <xdr:nvPicPr>
        <xdr:cNvPr id="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81775" y="7379494"/>
          <a:ext cx="2581275" cy="19359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104775</xdr:colOff>
      <xdr:row>28</xdr:row>
      <xdr:rowOff>76200</xdr:rowOff>
    </xdr:from>
    <xdr:to>
      <xdr:col>15</xdr:col>
      <xdr:colOff>504825</xdr:colOff>
      <xdr:row>38</xdr:row>
      <xdr:rowOff>95250</xdr:rowOff>
    </xdr:to>
    <xdr:pic>
      <xdr:nvPicPr>
        <xdr:cNvPr id="1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86900" y="7372350"/>
          <a:ext cx="2590800" cy="1943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2</xdr:row>
      <xdr:rowOff>38100</xdr:rowOff>
    </xdr:from>
    <xdr:to>
      <xdr:col>1</xdr:col>
      <xdr:colOff>533400</xdr:colOff>
      <xdr:row>23</xdr:row>
      <xdr:rowOff>19050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5325" y="428625"/>
          <a:ext cx="447675" cy="4152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85725</xdr:colOff>
      <xdr:row>2</xdr:row>
      <xdr:rowOff>28575</xdr:rowOff>
    </xdr:from>
    <xdr:to>
      <xdr:col>5</xdr:col>
      <xdr:colOff>514350</xdr:colOff>
      <xdr:row>23</xdr:row>
      <xdr:rowOff>9525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0" y="419100"/>
          <a:ext cx="428625" cy="4152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76200</xdr:colOff>
      <xdr:row>2</xdr:row>
      <xdr:rowOff>38100</xdr:rowOff>
    </xdr:from>
    <xdr:to>
      <xdr:col>9</xdr:col>
      <xdr:colOff>533400</xdr:colOff>
      <xdr:row>23</xdr:row>
      <xdr:rowOff>19050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34150" y="428625"/>
          <a:ext cx="457200" cy="4152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85725</xdr:colOff>
      <xdr:row>2</xdr:row>
      <xdr:rowOff>38100</xdr:rowOff>
    </xdr:from>
    <xdr:to>
      <xdr:col>13</xdr:col>
      <xdr:colOff>495300</xdr:colOff>
      <xdr:row>23</xdr:row>
      <xdr:rowOff>19050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467850" y="428625"/>
          <a:ext cx="409575" cy="415290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76200</xdr:colOff>
      <xdr:row>2</xdr:row>
      <xdr:rowOff>38100</xdr:rowOff>
    </xdr:from>
    <xdr:to>
      <xdr:col>17</xdr:col>
      <xdr:colOff>523875</xdr:colOff>
      <xdr:row>23</xdr:row>
      <xdr:rowOff>19050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00" y="428625"/>
          <a:ext cx="447675" cy="415290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76200</xdr:colOff>
      <xdr:row>2</xdr:row>
      <xdr:rowOff>38100</xdr:rowOff>
    </xdr:from>
    <xdr:to>
      <xdr:col>21</xdr:col>
      <xdr:colOff>542925</xdr:colOff>
      <xdr:row>23</xdr:row>
      <xdr:rowOff>28575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173325" y="428625"/>
          <a:ext cx="466725" cy="416242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66675</xdr:colOff>
      <xdr:row>2</xdr:row>
      <xdr:rowOff>38100</xdr:rowOff>
    </xdr:from>
    <xdr:to>
      <xdr:col>25</xdr:col>
      <xdr:colOff>533400</xdr:colOff>
      <xdr:row>23</xdr:row>
      <xdr:rowOff>57150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954625" y="428625"/>
          <a:ext cx="466725" cy="4191000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66675</xdr:colOff>
      <xdr:row>2</xdr:row>
      <xdr:rowOff>47625</xdr:rowOff>
    </xdr:from>
    <xdr:to>
      <xdr:col>29</xdr:col>
      <xdr:colOff>533400</xdr:colOff>
      <xdr:row>23</xdr:row>
      <xdr:rowOff>28575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745450" y="438150"/>
          <a:ext cx="466725" cy="41529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0"/>
  <sheetViews>
    <sheetView tabSelected="1" workbookViewId="0"/>
  </sheetViews>
  <sheetFormatPr defaultRowHeight="15"/>
  <sheetData>
    <row r="1" spans="1:22" ht="15.75" thickBot="1"/>
    <row r="2" spans="1:22" ht="15.75" thickBot="1">
      <c r="A2" s="121" t="s">
        <v>89</v>
      </c>
      <c r="B2" s="113"/>
      <c r="C2" s="161" t="s">
        <v>96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16"/>
      <c r="U2" s="116"/>
      <c r="V2" s="116"/>
    </row>
    <row r="3" spans="1:22" ht="9.9499999999999993" customHeight="1" thickBot="1">
      <c r="A3" s="121"/>
    </row>
    <row r="4" spans="1:22" ht="15.75" thickBot="1">
      <c r="A4" s="121" t="s">
        <v>90</v>
      </c>
      <c r="B4" s="118"/>
      <c r="C4" s="161" t="s">
        <v>97</v>
      </c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</row>
    <row r="5" spans="1:22" ht="9.9499999999999993" customHeight="1" thickBot="1">
      <c r="A5" s="121"/>
    </row>
    <row r="6" spans="1:22" ht="15.75" thickBot="1">
      <c r="A6" s="121" t="s">
        <v>91</v>
      </c>
      <c r="B6" s="112"/>
      <c r="C6" t="s">
        <v>98</v>
      </c>
    </row>
    <row r="7" spans="1:22" ht="9.9499999999999993" customHeight="1" thickBot="1">
      <c r="A7" s="121"/>
    </row>
    <row r="8" spans="1:22" ht="29.25" customHeight="1" thickBot="1">
      <c r="A8" s="122" t="s">
        <v>92</v>
      </c>
      <c r="B8" s="119"/>
      <c r="C8" s="162" t="s">
        <v>95</v>
      </c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</row>
    <row r="9" spans="1:22" ht="9.9499999999999993" customHeight="1" thickBot="1">
      <c r="A9" s="121"/>
    </row>
    <row r="10" spans="1:22" ht="15.75" thickBot="1">
      <c r="A10" s="121" t="s">
        <v>93</v>
      </c>
      <c r="B10" s="120"/>
      <c r="C10" t="s">
        <v>94</v>
      </c>
    </row>
    <row r="11" spans="1:22" ht="9.9499999999999993" customHeight="1">
      <c r="A11" s="121"/>
    </row>
    <row r="12" spans="1:22">
      <c r="A12" s="121"/>
      <c r="B12" t="s">
        <v>108</v>
      </c>
    </row>
    <row r="13" spans="1:22" ht="9.9499999999999993" customHeight="1">
      <c r="A13" s="121"/>
    </row>
    <row r="14" spans="1:22">
      <c r="A14" s="121" t="s">
        <v>89</v>
      </c>
      <c r="B14" t="s">
        <v>99</v>
      </c>
    </row>
    <row r="15" spans="1:22">
      <c r="A15" s="121" t="s">
        <v>90</v>
      </c>
      <c r="B15" t="s">
        <v>102</v>
      </c>
    </row>
    <row r="16" spans="1:22">
      <c r="A16" s="121" t="s">
        <v>91</v>
      </c>
      <c r="B16" t="s">
        <v>103</v>
      </c>
    </row>
    <row r="17" spans="1:19">
      <c r="A17" s="121" t="s">
        <v>92</v>
      </c>
      <c r="B17" t="s">
        <v>104</v>
      </c>
    </row>
    <row r="18" spans="1:19">
      <c r="A18" s="121" t="s">
        <v>93</v>
      </c>
      <c r="B18" t="s">
        <v>105</v>
      </c>
    </row>
    <row r="19" spans="1:19">
      <c r="A19" s="121" t="s">
        <v>100</v>
      </c>
      <c r="B19" t="s">
        <v>106</v>
      </c>
    </row>
    <row r="20" spans="1:19">
      <c r="A20" s="121" t="s">
        <v>101</v>
      </c>
      <c r="B20" t="s">
        <v>107</v>
      </c>
    </row>
    <row r="21" spans="1:19" ht="9.9499999999999993" customHeight="1"/>
    <row r="22" spans="1:19">
      <c r="B22" s="83" t="s">
        <v>115</v>
      </c>
      <c r="C22" s="168" t="s">
        <v>116</v>
      </c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</row>
    <row r="23" spans="1:19"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</row>
    <row r="24" spans="1:19" ht="15.75" thickBot="1"/>
    <row r="25" spans="1:19" ht="15.75" thickBot="1">
      <c r="B25" s="164" t="s">
        <v>66</v>
      </c>
      <c r="C25" s="164"/>
      <c r="D25" s="165"/>
      <c r="E25" s="113"/>
      <c r="G25" s="166" t="s">
        <v>77</v>
      </c>
      <c r="H25" s="166"/>
      <c r="I25" s="166"/>
    </row>
    <row r="26" spans="1:19" ht="15.75" thickBot="1">
      <c r="B26" s="164" t="s">
        <v>67</v>
      </c>
      <c r="C26" s="164"/>
      <c r="D26" s="165"/>
      <c r="E26" s="118"/>
      <c r="G26" s="166"/>
      <c r="H26" s="166"/>
      <c r="I26" s="167"/>
    </row>
    <row r="27" spans="1:19" ht="15.75" thickBot="1">
      <c r="B27" s="164" t="s">
        <v>68</v>
      </c>
      <c r="C27" s="164"/>
      <c r="D27" s="165"/>
      <c r="E27" s="112"/>
      <c r="G27" s="159" t="s">
        <v>78</v>
      </c>
      <c r="H27" s="160"/>
      <c r="I27" s="103"/>
    </row>
    <row r="28" spans="1:19" ht="15.75" thickBot="1">
      <c r="B28" s="164" t="s">
        <v>69</v>
      </c>
      <c r="C28" s="164"/>
      <c r="D28" s="165"/>
      <c r="E28" s="119"/>
      <c r="G28" s="159" t="s">
        <v>79</v>
      </c>
      <c r="H28" s="160"/>
      <c r="I28" s="103"/>
    </row>
    <row r="29" spans="1:19" ht="15.75" thickBot="1">
      <c r="B29" s="164" t="s">
        <v>70</v>
      </c>
      <c r="C29" s="164"/>
      <c r="D29" s="165"/>
      <c r="E29" s="120"/>
      <c r="G29" s="159" t="s">
        <v>80</v>
      </c>
      <c r="H29" s="160"/>
      <c r="I29" s="103"/>
    </row>
    <row r="30" spans="1:19" ht="15.75" thickBot="1">
      <c r="G30" s="159" t="s">
        <v>81</v>
      </c>
      <c r="H30" s="160"/>
      <c r="I30" s="103"/>
    </row>
  </sheetData>
  <sheetProtection sheet="1" objects="1" scenarios="1"/>
  <mergeCells count="14">
    <mergeCell ref="G30:H30"/>
    <mergeCell ref="C2:S2"/>
    <mergeCell ref="C4:S4"/>
    <mergeCell ref="C8:R8"/>
    <mergeCell ref="B25:D25"/>
    <mergeCell ref="B26:D26"/>
    <mergeCell ref="B27:D27"/>
    <mergeCell ref="B28:D28"/>
    <mergeCell ref="B29:D29"/>
    <mergeCell ref="G25:I26"/>
    <mergeCell ref="G27:H27"/>
    <mergeCell ref="G28:H28"/>
    <mergeCell ref="G29:H29"/>
    <mergeCell ref="C22:S2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51"/>
  <sheetViews>
    <sheetView showZeros="0" workbookViewId="0"/>
  </sheetViews>
  <sheetFormatPr defaultRowHeight="15"/>
  <cols>
    <col min="13" max="13" width="4.7109375" customWidth="1"/>
    <col min="16" max="16" width="4.7109375" customWidth="1"/>
    <col min="19" max="19" width="4.7109375" customWidth="1"/>
    <col min="23" max="24" width="9.140625" customWidth="1"/>
  </cols>
  <sheetData>
    <row r="1" spans="1:22" ht="9.9499999999999993" customHeight="1"/>
    <row r="2" spans="1:22">
      <c r="A2" s="155"/>
      <c r="B2" s="156"/>
      <c r="C2" s="133"/>
      <c r="D2" s="133"/>
      <c r="E2" s="155"/>
      <c r="F2" s="157"/>
      <c r="G2" s="158"/>
      <c r="H2" s="133"/>
    </row>
    <row r="3" spans="1:22" ht="9.9499999999999993" customHeight="1">
      <c r="A3" s="174" t="s">
        <v>71</v>
      </c>
      <c r="B3" s="173" t="s">
        <v>60</v>
      </c>
      <c r="C3" s="173" t="s">
        <v>61</v>
      </c>
      <c r="D3" s="173" t="s">
        <v>58</v>
      </c>
      <c r="E3" s="173" t="s">
        <v>59</v>
      </c>
      <c r="F3" s="173" t="s">
        <v>62</v>
      </c>
      <c r="G3" s="173" t="s">
        <v>63</v>
      </c>
      <c r="H3" s="173" t="s">
        <v>64</v>
      </c>
      <c r="I3" s="173" t="s">
        <v>65</v>
      </c>
      <c r="J3" s="174" t="s">
        <v>72</v>
      </c>
      <c r="K3" s="172" t="s">
        <v>73</v>
      </c>
      <c r="L3" s="83"/>
      <c r="M3" s="83"/>
      <c r="N3" s="172" t="s">
        <v>74</v>
      </c>
      <c r="O3" s="83"/>
      <c r="P3" s="83"/>
      <c r="Q3" s="172" t="s">
        <v>75</v>
      </c>
      <c r="R3" s="83"/>
      <c r="S3" s="83"/>
      <c r="T3" s="172" t="s">
        <v>76</v>
      </c>
    </row>
    <row r="4" spans="1:22">
      <c r="A4" s="174"/>
      <c r="B4" s="173"/>
      <c r="C4" s="173"/>
      <c r="D4" s="173"/>
      <c r="E4" s="173"/>
      <c r="F4" s="173"/>
      <c r="G4" s="173"/>
      <c r="H4" s="173"/>
      <c r="I4" s="173"/>
      <c r="J4" s="174"/>
      <c r="K4" s="172"/>
      <c r="L4" s="83"/>
      <c r="M4" s="83"/>
      <c r="N4" s="172"/>
      <c r="O4" s="83"/>
      <c r="P4" s="83"/>
      <c r="Q4" s="172"/>
      <c r="R4" s="83"/>
      <c r="S4" s="83"/>
      <c r="T4" s="172"/>
    </row>
    <row r="5" spans="1:22">
      <c r="A5" s="174"/>
      <c r="B5" s="175"/>
      <c r="C5" s="175"/>
      <c r="D5" s="175"/>
      <c r="E5" s="175"/>
      <c r="F5" s="175"/>
      <c r="G5" s="175"/>
      <c r="H5" s="175"/>
      <c r="I5" s="175"/>
      <c r="J5" s="174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</row>
    <row r="6" spans="1:22">
      <c r="B6" s="175"/>
      <c r="C6" s="175"/>
      <c r="D6" s="175"/>
      <c r="E6" s="175"/>
      <c r="F6" s="175"/>
      <c r="G6" s="175"/>
      <c r="H6" s="175"/>
      <c r="I6" s="175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</row>
    <row r="7" spans="1:22">
      <c r="B7" s="175"/>
      <c r="C7" s="175"/>
      <c r="D7" s="175"/>
      <c r="E7" s="175"/>
      <c r="F7" s="175"/>
      <c r="G7" s="175"/>
      <c r="H7" s="175"/>
      <c r="I7" s="175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</row>
    <row r="8" spans="1:22">
      <c r="B8" s="175"/>
      <c r="C8" s="175"/>
      <c r="D8" s="175"/>
      <c r="E8" s="175"/>
      <c r="F8" s="175"/>
      <c r="G8" s="175"/>
      <c r="H8" s="175"/>
      <c r="I8" s="175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</row>
    <row r="9" spans="1:22">
      <c r="B9" s="175"/>
      <c r="C9" s="175"/>
      <c r="D9" s="175"/>
      <c r="E9" s="175"/>
      <c r="F9" s="175"/>
      <c r="G9" s="175"/>
      <c r="H9" s="175"/>
      <c r="I9" s="175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</row>
    <row r="10" spans="1:22">
      <c r="B10" s="175"/>
      <c r="C10" s="175"/>
      <c r="D10" s="175"/>
      <c r="E10" s="175"/>
      <c r="F10" s="175"/>
      <c r="G10" s="175"/>
      <c r="H10" s="175"/>
      <c r="I10" s="175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</row>
    <row r="11" spans="1:22">
      <c r="B11" s="175"/>
      <c r="C11" s="175"/>
      <c r="D11" s="175"/>
      <c r="E11" s="175"/>
      <c r="F11" s="175"/>
      <c r="G11" s="175"/>
      <c r="H11" s="175"/>
      <c r="I11" s="175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</row>
    <row r="12" spans="1:22">
      <c r="B12" s="175"/>
      <c r="C12" s="175"/>
      <c r="D12" s="175"/>
      <c r="E12" s="175"/>
      <c r="F12" s="175"/>
      <c r="G12" s="175"/>
      <c r="H12" s="175"/>
      <c r="I12" s="175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</row>
    <row r="13" spans="1:22">
      <c r="B13" s="175"/>
      <c r="C13" s="175"/>
      <c r="D13" s="175"/>
      <c r="E13" s="175"/>
      <c r="F13" s="175"/>
      <c r="G13" s="175"/>
      <c r="H13" s="175"/>
      <c r="I13" s="175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</row>
    <row r="14" spans="1:22">
      <c r="B14" s="175"/>
      <c r="C14" s="175"/>
      <c r="D14" s="175"/>
      <c r="E14" s="175"/>
      <c r="F14" s="175"/>
      <c r="G14" s="175"/>
      <c r="H14" s="175"/>
      <c r="I14" s="175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</row>
    <row r="15" spans="1:22">
      <c r="B15" s="175"/>
      <c r="C15" s="175"/>
      <c r="D15" s="175"/>
      <c r="E15" s="175"/>
      <c r="F15" s="175"/>
      <c r="G15" s="175"/>
      <c r="H15" s="175"/>
      <c r="I15" s="175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</row>
    <row r="16" spans="1:22">
      <c r="B16" s="175"/>
      <c r="C16" s="175"/>
      <c r="D16" s="175"/>
      <c r="E16" s="175"/>
      <c r="F16" s="175"/>
      <c r="G16" s="175"/>
      <c r="H16" s="175"/>
      <c r="I16" s="175"/>
    </row>
    <row r="17" spans="2:23" ht="15.75" thickBot="1">
      <c r="B17" s="175"/>
      <c r="C17" s="175"/>
      <c r="D17" s="175"/>
      <c r="E17" s="175"/>
      <c r="F17" s="175"/>
      <c r="G17" s="175"/>
      <c r="H17" s="175"/>
      <c r="I17" s="175"/>
    </row>
    <row r="18" spans="2:23" ht="15" customHeight="1">
      <c r="B18" s="175"/>
      <c r="C18" s="175"/>
      <c r="D18" s="175"/>
      <c r="E18" s="175"/>
      <c r="F18" s="175"/>
      <c r="G18" s="175"/>
      <c r="H18" s="175"/>
      <c r="I18" s="175"/>
      <c r="K18" s="180" t="s">
        <v>82</v>
      </c>
      <c r="L18" s="181"/>
      <c r="M18" s="181"/>
      <c r="N18" s="181"/>
      <c r="O18" s="182"/>
      <c r="Q18" s="194" t="s">
        <v>83</v>
      </c>
      <c r="R18" s="195"/>
      <c r="S18" s="195"/>
      <c r="T18" s="195"/>
      <c r="U18" s="195"/>
      <c r="V18" s="195"/>
      <c r="W18" s="196"/>
    </row>
    <row r="19" spans="2:23" ht="15.75" customHeight="1">
      <c r="B19" s="175"/>
      <c r="C19" s="175"/>
      <c r="D19" s="175"/>
      <c r="E19" s="175"/>
      <c r="F19" s="175"/>
      <c r="G19" s="175"/>
      <c r="H19" s="175"/>
      <c r="I19" s="175"/>
      <c r="K19" s="183"/>
      <c r="L19" s="184"/>
      <c r="M19" s="184"/>
      <c r="N19" s="184"/>
      <c r="O19" s="185"/>
      <c r="Q19" s="197"/>
      <c r="R19" s="198"/>
      <c r="S19" s="198"/>
      <c r="T19" s="198"/>
      <c r="U19" s="198"/>
      <c r="V19" s="198"/>
      <c r="W19" s="199"/>
    </row>
    <row r="20" spans="2:23">
      <c r="B20" s="175"/>
      <c r="C20" s="175"/>
      <c r="D20" s="175"/>
      <c r="E20" s="175"/>
      <c r="F20" s="175"/>
      <c r="G20" s="175"/>
      <c r="H20" s="175"/>
      <c r="I20" s="175"/>
      <c r="K20" s="186" t="s">
        <v>49</v>
      </c>
      <c r="L20" s="187"/>
      <c r="M20" s="187"/>
      <c r="N20" s="89" t="s">
        <v>50</v>
      </c>
      <c r="O20" s="90" t="s">
        <v>51</v>
      </c>
      <c r="Q20" s="205" t="s">
        <v>49</v>
      </c>
      <c r="R20" s="206"/>
      <c r="S20" s="206"/>
      <c r="T20" s="123" t="s">
        <v>25</v>
      </c>
      <c r="U20" s="123" t="s">
        <v>48</v>
      </c>
      <c r="V20" s="123" t="s">
        <v>26</v>
      </c>
      <c r="W20" s="124" t="s">
        <v>86</v>
      </c>
    </row>
    <row r="21" spans="2:23">
      <c r="B21" s="175"/>
      <c r="C21" s="175"/>
      <c r="D21" s="175"/>
      <c r="E21" s="175"/>
      <c r="F21" s="175"/>
      <c r="G21" s="175"/>
      <c r="H21" s="175"/>
      <c r="I21" s="175"/>
      <c r="K21" s="188" t="s">
        <v>32</v>
      </c>
      <c r="L21" s="189"/>
      <c r="M21" s="189"/>
      <c r="N21" s="91">
        <f>Prepočty!X42</f>
        <v>0</v>
      </c>
      <c r="O21" s="88" t="s">
        <v>38</v>
      </c>
      <c r="Q21" s="207" t="s">
        <v>23</v>
      </c>
      <c r="R21" s="208"/>
      <c r="S21" s="208"/>
      <c r="T21" s="100">
        <f>Prepočty!X60</f>
        <v>0</v>
      </c>
      <c r="U21" s="98">
        <f>IF(T21=0,0,"x")</f>
        <v>0</v>
      </c>
      <c r="V21" s="98">
        <f>Prepočty!Z60</f>
        <v>0</v>
      </c>
      <c r="W21" s="99">
        <f>Prepočty!AB60</f>
        <v>0</v>
      </c>
    </row>
    <row r="22" spans="2:23">
      <c r="B22" s="175"/>
      <c r="C22" s="175"/>
      <c r="D22" s="175"/>
      <c r="E22" s="175"/>
      <c r="F22" s="175"/>
      <c r="G22" s="175"/>
      <c r="H22" s="175"/>
      <c r="I22" s="175"/>
      <c r="K22" s="178" t="s">
        <v>33</v>
      </c>
      <c r="L22" s="179"/>
      <c r="M22" s="179"/>
      <c r="N22" s="92">
        <f>Prepočty!X43</f>
        <v>0</v>
      </c>
      <c r="O22" s="85" t="s">
        <v>38</v>
      </c>
      <c r="Q22" s="190" t="s">
        <v>28</v>
      </c>
      <c r="R22" s="191"/>
      <c r="S22" s="191"/>
      <c r="T22" s="101">
        <f>Prepočty!X61</f>
        <v>0</v>
      </c>
      <c r="U22" s="98">
        <f t="shared" ref="U22:U26" si="0">IF(T22=0,0,"x")</f>
        <v>0</v>
      </c>
      <c r="V22" s="94">
        <f>Prepočty!Z61</f>
        <v>0</v>
      </c>
      <c r="W22" s="96">
        <f>Prepočty!AB61</f>
        <v>0</v>
      </c>
    </row>
    <row r="23" spans="2:23" ht="15.75" thickBot="1">
      <c r="B23" s="170" t="s">
        <v>126</v>
      </c>
      <c r="C23" s="170"/>
      <c r="D23" s="170"/>
      <c r="E23" s="170"/>
      <c r="G23" s="171" t="s">
        <v>127</v>
      </c>
      <c r="H23" s="171"/>
      <c r="I23" s="171"/>
      <c r="K23" s="178" t="s">
        <v>34</v>
      </c>
      <c r="L23" s="179"/>
      <c r="M23" s="179"/>
      <c r="N23" s="92">
        <f>Prepočty!X44</f>
        <v>0</v>
      </c>
      <c r="O23" s="85" t="s">
        <v>38</v>
      </c>
      <c r="Q23" s="190" t="s">
        <v>30</v>
      </c>
      <c r="R23" s="191"/>
      <c r="S23" s="191"/>
      <c r="T23" s="101">
        <f>Prepočty!X62</f>
        <v>0</v>
      </c>
      <c r="U23" s="98">
        <f t="shared" si="0"/>
        <v>0</v>
      </c>
      <c r="V23" s="94">
        <f>Prepočty!Z62</f>
        <v>0</v>
      </c>
      <c r="W23" s="96">
        <f>Prepočty!AB62</f>
        <v>0</v>
      </c>
    </row>
    <row r="24" spans="2:23" ht="15.75" customHeight="1" thickBot="1">
      <c r="B24" s="164" t="s">
        <v>66</v>
      </c>
      <c r="C24" s="164"/>
      <c r="D24" s="165"/>
      <c r="E24" s="117"/>
      <c r="F24" s="114"/>
      <c r="G24" s="166" t="s">
        <v>77</v>
      </c>
      <c r="H24" s="166"/>
      <c r="I24" s="166"/>
      <c r="K24" s="178" t="s">
        <v>35</v>
      </c>
      <c r="L24" s="179"/>
      <c r="M24" s="179"/>
      <c r="N24" s="92">
        <f>Prepočty!X45</f>
        <v>0</v>
      </c>
      <c r="O24" s="85" t="s">
        <v>38</v>
      </c>
      <c r="Q24" s="190" t="s">
        <v>29</v>
      </c>
      <c r="R24" s="191"/>
      <c r="S24" s="191"/>
      <c r="T24" s="101">
        <f>Prepočty!X63</f>
        <v>0</v>
      </c>
      <c r="U24" s="98">
        <f t="shared" si="0"/>
        <v>0</v>
      </c>
      <c r="V24" s="94">
        <f>Prepočty!Z63</f>
        <v>0</v>
      </c>
      <c r="W24" s="96">
        <f>Prepočty!AB63</f>
        <v>0</v>
      </c>
    </row>
    <row r="25" spans="2:23" ht="15.75" thickBot="1">
      <c r="B25" s="164" t="s">
        <v>67</v>
      </c>
      <c r="C25" s="164"/>
      <c r="D25" s="165"/>
      <c r="E25" s="117"/>
      <c r="F25" s="114"/>
      <c r="G25" s="166"/>
      <c r="H25" s="166"/>
      <c r="I25" s="167"/>
      <c r="K25" s="178" t="s">
        <v>52</v>
      </c>
      <c r="L25" s="179"/>
      <c r="M25" s="179"/>
      <c r="N25" s="92">
        <f>Prepočty!X46</f>
        <v>0</v>
      </c>
      <c r="O25" s="85" t="s">
        <v>38</v>
      </c>
      <c r="Q25" s="190" t="s">
        <v>24</v>
      </c>
      <c r="R25" s="191"/>
      <c r="S25" s="191"/>
      <c r="T25" s="101">
        <f>Prepočty!X64</f>
        <v>0</v>
      </c>
      <c r="U25" s="98">
        <f t="shared" si="0"/>
        <v>0</v>
      </c>
      <c r="V25" s="94">
        <f>Prepočty!Z64</f>
        <v>0</v>
      </c>
      <c r="W25" s="96">
        <f>Prepočty!AB64</f>
        <v>0</v>
      </c>
    </row>
    <row r="26" spans="2:23" ht="15.75" thickBot="1">
      <c r="B26" s="164" t="s">
        <v>68</v>
      </c>
      <c r="C26" s="164"/>
      <c r="D26" s="165"/>
      <c r="E26" s="117"/>
      <c r="F26" s="114"/>
      <c r="G26" s="159" t="s">
        <v>78</v>
      </c>
      <c r="H26" s="160"/>
      <c r="I26" s="117"/>
      <c r="J26" s="114"/>
      <c r="K26" s="178" t="s">
        <v>53</v>
      </c>
      <c r="L26" s="179"/>
      <c r="M26" s="179"/>
      <c r="N26" s="92">
        <f>Prepočty!X47</f>
        <v>0</v>
      </c>
      <c r="O26" s="85" t="s">
        <v>38</v>
      </c>
      <c r="Q26" s="192" t="s">
        <v>27</v>
      </c>
      <c r="R26" s="193"/>
      <c r="S26" s="193"/>
      <c r="T26" s="102">
        <f>Prepočty!X65</f>
        <v>0</v>
      </c>
      <c r="U26" s="98">
        <f t="shared" si="0"/>
        <v>0</v>
      </c>
      <c r="V26" s="95">
        <f>Prepočty!Z65</f>
        <v>0</v>
      </c>
      <c r="W26" s="97">
        <f>Prepočty!AB65</f>
        <v>0</v>
      </c>
    </row>
    <row r="27" spans="2:23" ht="15.75" thickBot="1">
      <c r="B27" s="164" t="s">
        <v>69</v>
      </c>
      <c r="C27" s="164"/>
      <c r="D27" s="165"/>
      <c r="E27" s="117"/>
      <c r="F27" s="114"/>
      <c r="G27" s="159" t="s">
        <v>79</v>
      </c>
      <c r="H27" s="160"/>
      <c r="I27" s="117"/>
      <c r="J27" s="115"/>
      <c r="K27" s="178" t="s">
        <v>54</v>
      </c>
      <c r="L27" s="179"/>
      <c r="M27" s="179"/>
      <c r="N27" s="92">
        <f>Prepočty!X48</f>
        <v>0</v>
      </c>
      <c r="O27" s="85" t="s">
        <v>38</v>
      </c>
      <c r="Q27" s="200"/>
      <c r="R27" s="201"/>
      <c r="S27" s="202"/>
      <c r="T27" s="125" t="s">
        <v>84</v>
      </c>
      <c r="U27" s="126" t="s">
        <v>85</v>
      </c>
    </row>
    <row r="28" spans="2:23" ht="15.75" thickBot="1">
      <c r="B28" s="164" t="s">
        <v>70</v>
      </c>
      <c r="C28" s="164"/>
      <c r="D28" s="165"/>
      <c r="E28" s="117"/>
      <c r="F28" s="114"/>
      <c r="G28" s="159" t="s">
        <v>80</v>
      </c>
      <c r="H28" s="160"/>
      <c r="I28" s="117"/>
      <c r="J28" s="114"/>
      <c r="K28" s="178" t="s">
        <v>55</v>
      </c>
      <c r="L28" s="179"/>
      <c r="M28" s="179"/>
      <c r="N28" s="92">
        <f>Prepočty!X49</f>
        <v>0</v>
      </c>
      <c r="O28" s="85" t="s">
        <v>38</v>
      </c>
      <c r="Q28" s="203" t="s">
        <v>32</v>
      </c>
      <c r="R28" s="204"/>
      <c r="S28" s="204"/>
      <c r="T28" s="127">
        <f>IF(N21&gt;0,Prepočty!$AG$4,0)</f>
        <v>0</v>
      </c>
      <c r="U28" s="128">
        <f>IF(N21&gt;0,N21,0)</f>
        <v>0</v>
      </c>
    </row>
    <row r="29" spans="2:23" ht="15.75" thickBot="1">
      <c r="E29" s="111"/>
      <c r="G29" s="159" t="s">
        <v>81</v>
      </c>
      <c r="H29" s="160"/>
      <c r="I29" s="117"/>
      <c r="J29" s="114"/>
      <c r="K29" s="178" t="s">
        <v>40</v>
      </c>
      <c r="L29" s="179"/>
      <c r="M29" s="179"/>
      <c r="N29" s="92">
        <f>Prepočty!$AB$51</f>
        <v>0</v>
      </c>
      <c r="O29" s="85" t="s">
        <v>88</v>
      </c>
      <c r="Q29" s="190" t="s">
        <v>33</v>
      </c>
      <c r="R29" s="191"/>
      <c r="S29" s="191"/>
      <c r="T29" s="94">
        <f>IF(N22&gt;0,Prepočty!$AG$4,0)</f>
        <v>0</v>
      </c>
      <c r="U29" s="96">
        <f t="shared" ref="U29:U31" si="1">IF(N22&gt;0,N22,0)</f>
        <v>0</v>
      </c>
    </row>
    <row r="30" spans="2:23">
      <c r="K30" s="178" t="s">
        <v>41</v>
      </c>
      <c r="L30" s="179"/>
      <c r="M30" s="179"/>
      <c r="N30" s="92">
        <f>Prepočty!$AB$51</f>
        <v>0</v>
      </c>
      <c r="O30" s="85" t="s">
        <v>88</v>
      </c>
      <c r="Q30" s="190" t="s">
        <v>34</v>
      </c>
      <c r="R30" s="191"/>
      <c r="S30" s="191"/>
      <c r="T30" s="94">
        <f>IF(N23&gt;0,Prepočty!$AG$4,0)</f>
        <v>0</v>
      </c>
      <c r="U30" s="96">
        <f t="shared" si="1"/>
        <v>0</v>
      </c>
    </row>
    <row r="31" spans="2:23">
      <c r="K31" s="86" t="s">
        <v>46</v>
      </c>
      <c r="L31" s="84"/>
      <c r="M31" s="84"/>
      <c r="N31" s="92">
        <f>Prepočty!$AB$51</f>
        <v>0</v>
      </c>
      <c r="O31" s="85" t="s">
        <v>88</v>
      </c>
      <c r="Q31" s="108" t="s">
        <v>35</v>
      </c>
      <c r="R31" s="109"/>
      <c r="S31" s="109"/>
      <c r="T31" s="94">
        <f>IF(N24&gt;0,Prepočty!$AG$4,0)</f>
        <v>0</v>
      </c>
      <c r="U31" s="96">
        <f t="shared" si="1"/>
        <v>0</v>
      </c>
    </row>
    <row r="32" spans="2:23">
      <c r="K32" s="178" t="s">
        <v>87</v>
      </c>
      <c r="L32" s="179"/>
      <c r="M32" s="179"/>
      <c r="N32" s="92">
        <f>Prepočty!X53</f>
        <v>0</v>
      </c>
      <c r="O32" s="85" t="s">
        <v>38</v>
      </c>
      <c r="Q32" s="190" t="s">
        <v>36</v>
      </c>
      <c r="R32" s="191"/>
      <c r="S32" s="191"/>
      <c r="T32" s="94">
        <f>IF(U32=0,0,Prepočty!AG28)</f>
        <v>0</v>
      </c>
      <c r="U32" s="96">
        <f>Prepočty!AL5</f>
        <v>0</v>
      </c>
    </row>
    <row r="33" spans="11:21">
      <c r="K33" s="178" t="s">
        <v>43</v>
      </c>
      <c r="L33" s="179"/>
      <c r="M33" s="179"/>
      <c r="N33" s="92">
        <f>Prepočty!X54</f>
        <v>0</v>
      </c>
      <c r="O33" s="85" t="s">
        <v>38</v>
      </c>
      <c r="Q33" s="190" t="s">
        <v>37</v>
      </c>
      <c r="R33" s="191"/>
      <c r="S33" s="191"/>
      <c r="T33" s="94">
        <f>IF(U33=0,0,Prepočty!AG28)</f>
        <v>0</v>
      </c>
      <c r="U33" s="96">
        <f>Prepočty!AL16</f>
        <v>0</v>
      </c>
    </row>
    <row r="34" spans="11:21">
      <c r="K34" s="178" t="s">
        <v>44</v>
      </c>
      <c r="L34" s="179"/>
      <c r="M34" s="179"/>
      <c r="N34" s="92">
        <f>Prepočty!X55</f>
        <v>0</v>
      </c>
      <c r="O34" s="85" t="s">
        <v>39</v>
      </c>
      <c r="Q34" s="190" t="s">
        <v>40</v>
      </c>
      <c r="R34" s="191"/>
      <c r="S34" s="191"/>
      <c r="T34" s="94">
        <f>E24</f>
        <v>0</v>
      </c>
      <c r="U34" s="96">
        <f>IF(T34&gt;0,1,0)</f>
        <v>0</v>
      </c>
    </row>
    <row r="35" spans="11:21" ht="15.75" thickBot="1">
      <c r="K35" s="178" t="s">
        <v>45</v>
      </c>
      <c r="L35" s="179"/>
      <c r="M35" s="179"/>
      <c r="N35" s="92">
        <f>Prepočty!X56</f>
        <v>0</v>
      </c>
      <c r="O35" s="85" t="s">
        <v>39</v>
      </c>
      <c r="Q35" s="192" t="s">
        <v>41</v>
      </c>
      <c r="R35" s="193"/>
      <c r="S35" s="193"/>
      <c r="T35" s="95">
        <f>E24</f>
        <v>0</v>
      </c>
      <c r="U35" s="97">
        <f>IF(T35&gt;0,1,0)</f>
        <v>0</v>
      </c>
    </row>
    <row r="36" spans="11:21" ht="15.75" thickBot="1">
      <c r="K36" s="176" t="s">
        <v>47</v>
      </c>
      <c r="L36" s="177"/>
      <c r="M36" s="177"/>
      <c r="N36" s="93">
        <f>Prepočty!X57</f>
        <v>0</v>
      </c>
      <c r="O36" s="87" t="s">
        <v>38</v>
      </c>
    </row>
    <row r="50" spans="1:4">
      <c r="A50" s="81" t="s">
        <v>111</v>
      </c>
      <c r="B50" s="81" t="s">
        <v>113</v>
      </c>
      <c r="C50" s="81" t="s">
        <v>112</v>
      </c>
      <c r="D50" s="81" t="s">
        <v>114</v>
      </c>
    </row>
    <row r="51" spans="1:4">
      <c r="A51" s="81">
        <f>Prepočty!R34</f>
        <v>0</v>
      </c>
      <c r="B51" s="81">
        <f>Prepočty!S34</f>
        <v>0</v>
      </c>
      <c r="C51" s="81">
        <f>Prepočty!T34</f>
        <v>0</v>
      </c>
      <c r="D51" s="81">
        <f>Prepočty!V34</f>
        <v>0</v>
      </c>
    </row>
  </sheetData>
  <mergeCells count="71">
    <mergeCell ref="Q18:W19"/>
    <mergeCell ref="Q26:S26"/>
    <mergeCell ref="Q27:S27"/>
    <mergeCell ref="Q28:S28"/>
    <mergeCell ref="Q29:S29"/>
    <mergeCell ref="Q20:S20"/>
    <mergeCell ref="Q21:S21"/>
    <mergeCell ref="Q22:S22"/>
    <mergeCell ref="Q23:S23"/>
    <mergeCell ref="Q24:S24"/>
    <mergeCell ref="Q25:S25"/>
    <mergeCell ref="K23:M23"/>
    <mergeCell ref="K24:M24"/>
    <mergeCell ref="Q34:S34"/>
    <mergeCell ref="Q35:S35"/>
    <mergeCell ref="Q33:S33"/>
    <mergeCell ref="Q30:S30"/>
    <mergeCell ref="Q32:S32"/>
    <mergeCell ref="K36:M36"/>
    <mergeCell ref="K25:M25"/>
    <mergeCell ref="K26:M26"/>
    <mergeCell ref="K27:M27"/>
    <mergeCell ref="K28:M28"/>
    <mergeCell ref="K29:M29"/>
    <mergeCell ref="K30:M30"/>
    <mergeCell ref="K32:M32"/>
    <mergeCell ref="K33:M33"/>
    <mergeCell ref="K34:M34"/>
    <mergeCell ref="K35:M35"/>
    <mergeCell ref="G24:I25"/>
    <mergeCell ref="G28:H28"/>
    <mergeCell ref="G29:H29"/>
    <mergeCell ref="B24:D24"/>
    <mergeCell ref="B25:D25"/>
    <mergeCell ref="B26:D26"/>
    <mergeCell ref="B27:D27"/>
    <mergeCell ref="B28:D28"/>
    <mergeCell ref="G26:H26"/>
    <mergeCell ref="G27:H27"/>
    <mergeCell ref="A3:A5"/>
    <mergeCell ref="J3:J5"/>
    <mergeCell ref="K3:K4"/>
    <mergeCell ref="N3:N4"/>
    <mergeCell ref="Q3:Q4"/>
    <mergeCell ref="B5:B22"/>
    <mergeCell ref="C5:C22"/>
    <mergeCell ref="D5:D22"/>
    <mergeCell ref="E5:E22"/>
    <mergeCell ref="F5:F22"/>
    <mergeCell ref="G5:G22"/>
    <mergeCell ref="H5:H22"/>
    <mergeCell ref="I5:I22"/>
    <mergeCell ref="K5:M15"/>
    <mergeCell ref="N5:P15"/>
    <mergeCell ref="Q5:S15"/>
    <mergeCell ref="T5:V15"/>
    <mergeCell ref="B23:E23"/>
    <mergeCell ref="G23:I23"/>
    <mergeCell ref="T3:T4"/>
    <mergeCell ref="B3:B4"/>
    <mergeCell ref="C3:C4"/>
    <mergeCell ref="D3:D4"/>
    <mergeCell ref="E3:E4"/>
    <mergeCell ref="F3:F4"/>
    <mergeCell ref="G3:G4"/>
    <mergeCell ref="H3:H4"/>
    <mergeCell ref="I3:I4"/>
    <mergeCell ref="K18:O19"/>
    <mergeCell ref="K20:M20"/>
    <mergeCell ref="K21:M21"/>
    <mergeCell ref="K22:M22"/>
  </mergeCells>
  <conditionalFormatting sqref="I26">
    <cfRule type="expression" dxfId="17" priority="19">
      <formula>$B$51&gt;0</formula>
    </cfRule>
    <cfRule type="expression" dxfId="16" priority="17">
      <formula>$B$51&gt;0</formula>
    </cfRule>
  </conditionalFormatting>
  <conditionalFormatting sqref="I27">
    <cfRule type="expression" dxfId="15" priority="16">
      <formula>$D$51&gt;0</formula>
    </cfRule>
  </conditionalFormatting>
  <conditionalFormatting sqref="I28">
    <cfRule type="expression" dxfId="14" priority="15">
      <formula>$A$51&gt;0</formula>
    </cfRule>
  </conditionalFormatting>
  <conditionalFormatting sqref="I29">
    <cfRule type="expression" dxfId="13" priority="14">
      <formula>$C$51&gt;0</formula>
    </cfRule>
  </conditionalFormatting>
  <conditionalFormatting sqref="B3:B4">
    <cfRule type="expression" dxfId="12" priority="13">
      <formula>$E$27="D1"</formula>
    </cfRule>
  </conditionalFormatting>
  <conditionalFormatting sqref="B3:B22">
    <cfRule type="expression" dxfId="11" priority="12">
      <formula>$E$27="D1"</formula>
    </cfRule>
  </conditionalFormatting>
  <conditionalFormatting sqref="C3:C22">
    <cfRule type="expression" dxfId="10" priority="11">
      <formula>$E$27="S1"</formula>
    </cfRule>
  </conditionalFormatting>
  <conditionalFormatting sqref="D3:D22">
    <cfRule type="expression" dxfId="9" priority="10">
      <formula>$E$27="D2"</formula>
    </cfRule>
  </conditionalFormatting>
  <conditionalFormatting sqref="E3:E22">
    <cfRule type="expression" dxfId="8" priority="9">
      <formula>$E$27="S2"</formula>
    </cfRule>
  </conditionalFormatting>
  <conditionalFormatting sqref="F3:F22">
    <cfRule type="expression" dxfId="7" priority="8">
      <formula>$E$27="DS11"</formula>
    </cfRule>
  </conditionalFormatting>
  <conditionalFormatting sqref="G3:G22">
    <cfRule type="expression" dxfId="6" priority="7">
      <formula>$E$27="SD11"</formula>
    </cfRule>
  </conditionalFormatting>
  <conditionalFormatting sqref="H3:H22">
    <cfRule type="expression" dxfId="5" priority="6">
      <formula>$E$27="DS21"</formula>
    </cfRule>
  </conditionalFormatting>
  <conditionalFormatting sqref="I3:I22">
    <cfRule type="expression" dxfId="4" priority="5">
      <formula>$E$27="SD21"</formula>
    </cfRule>
  </conditionalFormatting>
  <conditionalFormatting sqref="K3:M15">
    <cfRule type="expression" dxfId="3" priority="4">
      <formula>$E$28="DT18"</formula>
    </cfRule>
  </conditionalFormatting>
  <conditionalFormatting sqref="N3:P15">
    <cfRule type="expression" dxfId="2" priority="3">
      <formula>$E$28="LE18"</formula>
    </cfRule>
  </conditionalFormatting>
  <conditionalFormatting sqref="Q3:S15">
    <cfRule type="expression" dxfId="1" priority="2">
      <formula>$E$28="SH18"</formula>
    </cfRule>
  </conditionalFormatting>
  <conditionalFormatting sqref="T3:V15">
    <cfRule type="expression" dxfId="0" priority="1">
      <formula>$E$28="UP18"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X51"/>
  <sheetViews>
    <sheetView zoomScaleNormal="100" workbookViewId="0"/>
  </sheetViews>
  <sheetFormatPr defaultRowHeight="15"/>
  <cols>
    <col min="1" max="1" width="1.7109375" customWidth="1"/>
    <col min="2" max="21" width="5.7109375" customWidth="1"/>
    <col min="22" max="22" width="1.7109375" customWidth="1"/>
    <col min="23" max="26" width="5.7109375" customWidth="1"/>
    <col min="27" max="27" width="1.7109375" customWidth="1"/>
    <col min="28" max="31" width="5.7109375" customWidth="1"/>
    <col min="32" max="32" width="1.7109375" customWidth="1"/>
    <col min="33" max="36" width="5.7109375" customWidth="1"/>
    <col min="37" max="37" width="1.7109375" customWidth="1"/>
    <col min="38" max="41" width="5.7109375" customWidth="1"/>
    <col min="42" max="42" width="1.7109375" customWidth="1"/>
    <col min="43" max="46" width="5.7109375" customWidth="1"/>
    <col min="47" max="47" width="1.7109375" customWidth="1"/>
    <col min="48" max="51" width="5.7109375" customWidth="1"/>
    <col min="52" max="52" width="1.7109375" customWidth="1"/>
  </cols>
  <sheetData>
    <row r="1" spans="1:50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</row>
    <row r="2" spans="1:50">
      <c r="A2" s="107"/>
      <c r="AK2" s="107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</row>
    <row r="3" spans="1:50">
      <c r="A3" s="107"/>
      <c r="AK3" s="107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</row>
    <row r="4" spans="1:50">
      <c r="A4" s="107"/>
      <c r="AK4" s="107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</row>
    <row r="5" spans="1:50">
      <c r="A5" s="107"/>
      <c r="AK5" s="107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</row>
    <row r="6" spans="1:50">
      <c r="A6" s="107"/>
      <c r="AK6" s="107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</row>
    <row r="7" spans="1:50">
      <c r="A7" s="107"/>
      <c r="AK7" s="107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</row>
    <row r="8" spans="1:50">
      <c r="A8" s="107"/>
      <c r="AK8" s="107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</row>
    <row r="9" spans="1:50">
      <c r="A9" s="107"/>
      <c r="AK9" s="107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</row>
    <row r="10" spans="1:50">
      <c r="A10" s="107"/>
      <c r="AK10" s="107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</row>
    <row r="11" spans="1:50">
      <c r="A11" s="107"/>
      <c r="AK11" s="107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</row>
    <row r="12" spans="1:50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</row>
    <row r="13" spans="1:50" s="111" customFormat="1">
      <c r="A13" s="107"/>
      <c r="AK13" s="107"/>
    </row>
    <row r="14" spans="1:50" s="111" customFormat="1">
      <c r="A14" s="107"/>
      <c r="AK14" s="107"/>
    </row>
    <row r="15" spans="1:50">
      <c r="A15" s="107"/>
      <c r="AK15" s="107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</row>
    <row r="16" spans="1:50">
      <c r="A16" s="107"/>
      <c r="AK16" s="107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</row>
    <row r="17" spans="1:50">
      <c r="A17" s="107"/>
      <c r="AK17" s="107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</row>
    <row r="18" spans="1:50">
      <c r="A18" s="107"/>
      <c r="AK18" s="107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</row>
    <row r="19" spans="1:50">
      <c r="A19" s="107"/>
      <c r="AK19" s="107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</row>
    <row r="20" spans="1:50">
      <c r="A20" s="107"/>
      <c r="AK20" s="107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</row>
    <row r="21" spans="1:50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</row>
    <row r="22" spans="1:50" s="111" customFormat="1">
      <c r="A22" s="107"/>
      <c r="AK22" s="107"/>
    </row>
    <row r="23" spans="1:50" s="111" customFormat="1">
      <c r="A23" s="107"/>
      <c r="AK23" s="107"/>
    </row>
    <row r="24" spans="1:50">
      <c r="A24" s="107"/>
      <c r="AK24" s="107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</row>
    <row r="25" spans="1:50">
      <c r="A25" s="107"/>
      <c r="AK25" s="107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</row>
    <row r="26" spans="1:50">
      <c r="A26" s="107"/>
      <c r="AK26" s="107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</row>
    <row r="27" spans="1:50">
      <c r="A27" s="107"/>
      <c r="AK27" s="107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</row>
    <row r="28" spans="1:50">
      <c r="A28" s="107"/>
      <c r="AK28" s="107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</row>
    <row r="29" spans="1:50">
      <c r="A29" s="107"/>
      <c r="AK29" s="107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</row>
    <row r="30" spans="1:50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</row>
    <row r="31" spans="1:50">
      <c r="A31" s="107"/>
      <c r="AK31" s="107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</row>
    <row r="32" spans="1:50">
      <c r="A32" s="107"/>
      <c r="AK32" s="107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</row>
    <row r="33" spans="1:50">
      <c r="A33" s="107"/>
      <c r="AK33" s="107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</row>
    <row r="34" spans="1:50">
      <c r="A34" s="107"/>
      <c r="AK34" s="107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</row>
    <row r="35" spans="1:50">
      <c r="A35" s="107"/>
      <c r="AK35" s="107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</row>
    <row r="36" spans="1:50">
      <c r="A36" s="107"/>
      <c r="AK36" s="107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</row>
    <row r="37" spans="1:50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</row>
    <row r="38" spans="1:50">
      <c r="A38" s="107"/>
      <c r="AK38" s="107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</row>
    <row r="39" spans="1:50">
      <c r="A39" s="107"/>
      <c r="AK39" s="107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</row>
    <row r="40" spans="1:50">
      <c r="A40" s="107"/>
      <c r="AK40" s="107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</row>
    <row r="41" spans="1:50">
      <c r="A41" s="107"/>
      <c r="AK41" s="107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</row>
    <row r="42" spans="1:50">
      <c r="A42" s="107"/>
      <c r="AK42" s="107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</row>
    <row r="43" spans="1:50">
      <c r="A43" s="107"/>
      <c r="AK43" s="107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</row>
    <row r="44" spans="1:50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</row>
    <row r="45" spans="1:50">
      <c r="A45" s="107"/>
      <c r="AK45" s="107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</row>
    <row r="46" spans="1:50">
      <c r="A46" s="107"/>
      <c r="AK46" s="107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</row>
    <row r="47" spans="1:50">
      <c r="A47" s="107"/>
      <c r="AK47" s="107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</row>
    <row r="48" spans="1:50">
      <c r="A48" s="107"/>
      <c r="AK48" s="107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</row>
    <row r="49" spans="1:50">
      <c r="A49" s="107"/>
      <c r="AK49" s="107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</row>
    <row r="50" spans="1:50">
      <c r="A50" s="107"/>
      <c r="AK50" s="107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</row>
    <row r="51" spans="1:50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</row>
  </sheetData>
  <sheetProtection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AX76"/>
  <sheetViews>
    <sheetView zoomScaleNormal="100" workbookViewId="0"/>
  </sheetViews>
  <sheetFormatPr defaultRowHeight="15"/>
  <cols>
    <col min="1" max="1" width="3.28515625" style="1" customWidth="1"/>
    <col min="2" max="2" width="9.140625" style="1"/>
    <col min="3" max="3" width="23.7109375" style="1" customWidth="1"/>
    <col min="4" max="4" width="9.140625" style="1"/>
    <col min="5" max="5" width="1.85546875" style="1" customWidth="1"/>
    <col min="6" max="6" width="9.140625" style="1"/>
    <col min="7" max="7" width="23.7109375" style="1" customWidth="1"/>
    <col min="8" max="8" width="9.140625" style="1"/>
    <col min="9" max="9" width="1.85546875" style="1" customWidth="1"/>
    <col min="10" max="10" width="9.140625" style="1"/>
    <col min="11" max="11" width="23.7109375" style="1" customWidth="1"/>
    <col min="12" max="12" width="9.140625" style="1"/>
    <col min="13" max="13" width="1.85546875" style="1" customWidth="1"/>
    <col min="14" max="14" width="9.140625" style="1"/>
    <col min="15" max="15" width="23.7109375" style="1" customWidth="1"/>
    <col min="16" max="16" width="9.140625" style="1"/>
    <col min="17" max="17" width="1.85546875" style="1" customWidth="1"/>
    <col min="18" max="18" width="9.140625" style="1"/>
    <col min="19" max="19" width="21.7109375" style="1" customWidth="1"/>
    <col min="20" max="20" width="9.140625" style="1"/>
    <col min="21" max="21" width="1.85546875" style="1" customWidth="1"/>
    <col min="22" max="22" width="9.140625" style="1"/>
    <col min="23" max="23" width="21.7109375" style="1" customWidth="1"/>
    <col min="24" max="24" width="9.140625" style="1"/>
    <col min="25" max="25" width="1.85546875" style="1" customWidth="1"/>
    <col min="26" max="26" width="9.140625" style="1"/>
    <col min="27" max="27" width="21.7109375" style="1" customWidth="1"/>
    <col min="28" max="28" width="9.140625" style="1"/>
    <col min="29" max="29" width="1.85546875" style="1" customWidth="1"/>
    <col min="30" max="30" width="9.140625" style="1"/>
    <col min="31" max="31" width="21.7109375" style="1" customWidth="1"/>
    <col min="32" max="37" width="9.140625" style="1"/>
    <col min="38" max="38" width="10.42578125" style="1" customWidth="1"/>
    <col min="39" max="39" width="11.42578125" style="1" customWidth="1"/>
    <col min="40" max="40" width="34.5703125" style="1" customWidth="1"/>
    <col min="41" max="41" width="12.5703125" style="1" customWidth="1"/>
    <col min="42" max="42" width="17" style="1" customWidth="1"/>
    <col min="43" max="43" width="23.140625" style="1" customWidth="1"/>
    <col min="44" max="44" width="18.42578125" style="1" customWidth="1"/>
    <col min="45" max="16384" width="9.140625" style="1"/>
  </cols>
  <sheetData>
    <row r="2" spans="2:50" ht="15.75" thickBot="1">
      <c r="B2" s="1" t="s">
        <v>60</v>
      </c>
      <c r="F2" s="1" t="s">
        <v>61</v>
      </c>
      <c r="J2" s="1" t="s">
        <v>58</v>
      </c>
      <c r="N2" s="1" t="s">
        <v>59</v>
      </c>
      <c r="R2" s="1" t="s">
        <v>62</v>
      </c>
      <c r="V2" s="1" t="s">
        <v>63</v>
      </c>
      <c r="Z2" s="1" t="s">
        <v>64</v>
      </c>
      <c r="AD2" s="1" t="s">
        <v>65</v>
      </c>
      <c r="AI2" s="1" t="s">
        <v>56</v>
      </c>
    </row>
    <row r="3" spans="2:50" ht="15.75" thickBot="1">
      <c r="B3" s="2"/>
      <c r="C3" s="3" t="s">
        <v>0</v>
      </c>
      <c r="D3" s="104">
        <f>IF('Objednávkový a nárezový plán'!$E$27="D1",'Objednávkový a nárezový plán'!$E$25,0)</f>
        <v>0</v>
      </c>
      <c r="F3" s="2"/>
      <c r="G3" s="3" t="s">
        <v>0</v>
      </c>
      <c r="H3" s="104">
        <f>IF('Objednávkový a nárezový plán'!$E$27="S1",'Objednávkový a nárezový plán'!$E$25,0)</f>
        <v>0</v>
      </c>
      <c r="J3" s="2"/>
      <c r="K3" s="3" t="s">
        <v>0</v>
      </c>
      <c r="L3" s="104">
        <f>IF('Objednávkový a nárezový plán'!$E$27="D2",'Objednávkový a nárezový plán'!$E$25,0)</f>
        <v>0</v>
      </c>
      <c r="N3" s="2"/>
      <c r="O3" s="3" t="s">
        <v>0</v>
      </c>
      <c r="P3" s="104">
        <f>IF('Objednávkový a nárezový plán'!$E$27="S2",'Objednávkový a nárezový plán'!$E$25,0)</f>
        <v>0</v>
      </c>
      <c r="R3" s="2"/>
      <c r="S3" s="3" t="s">
        <v>0</v>
      </c>
      <c r="T3" s="104">
        <f>IF('Objednávkový a nárezový plán'!$E$27="DS11",'Objednávkový a nárezový plán'!$E$25,0)</f>
        <v>0</v>
      </c>
      <c r="V3" s="2"/>
      <c r="W3" s="3" t="s">
        <v>0</v>
      </c>
      <c r="X3" s="104">
        <f>IF('Objednávkový a nárezový plán'!$E$27="SD11",'Objednávkový a nárezový plán'!$E$25,0)</f>
        <v>0</v>
      </c>
      <c r="Z3" s="2"/>
      <c r="AA3" s="3" t="s">
        <v>0</v>
      </c>
      <c r="AB3" s="104">
        <f>IF('Objednávkový a nárezový plán'!$E$27="DS21",'Objednávkový a nárezový plán'!$E$25,0)</f>
        <v>0</v>
      </c>
      <c r="AD3" s="2"/>
      <c r="AE3" s="3" t="s">
        <v>0</v>
      </c>
      <c r="AF3" s="104">
        <f>IF('Objednávkový a nárezový plán'!$E$27="SD21",'Objednávkový a nárezový plán'!$E$25,0)</f>
        <v>0</v>
      </c>
      <c r="AG3" s="48"/>
      <c r="AH3" s="48"/>
      <c r="AI3" s="135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7"/>
      <c r="AU3" s="132"/>
      <c r="AV3" s="132"/>
      <c r="AW3" s="132"/>
      <c r="AX3" s="79"/>
    </row>
    <row r="4" spans="2:50" ht="15.75" thickBot="1">
      <c r="B4" s="4"/>
      <c r="C4" s="5" t="s">
        <v>1</v>
      </c>
      <c r="D4" s="6">
        <f>IF(D3=0,0,D3-4.5)</f>
        <v>0</v>
      </c>
      <c r="F4" s="4"/>
      <c r="G4" s="7" t="s">
        <v>1</v>
      </c>
      <c r="H4" s="6">
        <f>IF(H3=0,0,H3-4.5)</f>
        <v>0</v>
      </c>
      <c r="J4" s="4"/>
      <c r="K4" s="5" t="s">
        <v>1</v>
      </c>
      <c r="L4" s="6">
        <f>IF(L3=0,0,L3-4.5)</f>
        <v>0</v>
      </c>
      <c r="N4" s="4"/>
      <c r="O4" s="5" t="s">
        <v>1</v>
      </c>
      <c r="P4" s="6">
        <f>IF(P3=0,0,P3-4.5)</f>
        <v>0</v>
      </c>
      <c r="R4" s="4"/>
      <c r="S4" s="5" t="s">
        <v>1</v>
      </c>
      <c r="T4" s="6">
        <f>IF(T3=0,0,T3-4.5)</f>
        <v>0</v>
      </c>
      <c r="V4" s="4"/>
      <c r="W4" s="5" t="s">
        <v>1</v>
      </c>
      <c r="X4" s="6">
        <f>IF(X3=0,0,X3-4.5)</f>
        <v>0</v>
      </c>
      <c r="Z4" s="4"/>
      <c r="AA4" s="5" t="s">
        <v>1</v>
      </c>
      <c r="AB4" s="6">
        <f>IF(AB3=0,0,AB3-4.5)</f>
        <v>0</v>
      </c>
      <c r="AD4" s="4"/>
      <c r="AE4" s="5" t="s">
        <v>1</v>
      </c>
      <c r="AF4" s="6">
        <f>IF(AF3=0,0,AF3-4.5)</f>
        <v>0</v>
      </c>
      <c r="AG4" s="48">
        <f>D4+H4+L4+P4+T4+X4+AB4+AF4</f>
        <v>0</v>
      </c>
      <c r="AH4" s="48"/>
      <c r="AI4" s="138"/>
      <c r="AJ4" s="139"/>
      <c r="AK4" s="140" t="s">
        <v>117</v>
      </c>
      <c r="AL4" s="140" t="s">
        <v>38</v>
      </c>
      <c r="AM4" s="140" t="s">
        <v>84</v>
      </c>
      <c r="AN4" s="140" t="s">
        <v>118</v>
      </c>
      <c r="AO4" s="140" t="s">
        <v>119</v>
      </c>
      <c r="AP4" s="140" t="s">
        <v>120</v>
      </c>
      <c r="AQ4" s="140" t="s">
        <v>121</v>
      </c>
      <c r="AR4" s="140" t="s">
        <v>122</v>
      </c>
      <c r="AS4" s="140"/>
      <c r="AT4" s="141"/>
      <c r="AU4" s="80"/>
      <c r="AV4" s="80"/>
      <c r="AW4" s="80"/>
      <c r="AX4" s="80"/>
    </row>
    <row r="5" spans="2:50" ht="15.75" thickBot="1">
      <c r="B5" s="4"/>
      <c r="C5" s="8" t="s">
        <v>2</v>
      </c>
      <c r="D5" s="9">
        <f>IF(D3=0,0,D4-8)</f>
        <v>0</v>
      </c>
      <c r="F5" s="4"/>
      <c r="G5" s="10" t="s">
        <v>3</v>
      </c>
      <c r="H5" s="11">
        <f>IF(H3=0,0,H4-7.2)</f>
        <v>0</v>
      </c>
      <c r="J5" s="4"/>
      <c r="K5" s="12" t="s">
        <v>4</v>
      </c>
      <c r="L5" s="104">
        <f>IF(L3=0,0,'Objednávkový a nárezový plán'!I26)</f>
        <v>0</v>
      </c>
      <c r="N5" s="4"/>
      <c r="O5" s="13" t="s">
        <v>6</v>
      </c>
      <c r="P5" s="104">
        <f>IF(P3=0,0,'Objednávkový a nárezový plán'!I27)</f>
        <v>0</v>
      </c>
      <c r="R5" s="4"/>
      <c r="S5" s="12" t="s">
        <v>8</v>
      </c>
      <c r="T5" s="104">
        <f>IF(T3=0,0,'Objednávkový a nárezový plán'!I28)</f>
        <v>0</v>
      </c>
      <c r="V5" s="4"/>
      <c r="W5" s="13" t="s">
        <v>3</v>
      </c>
      <c r="X5" s="104">
        <f>IF(X3=0,0,'Objednávkový a nárezový plán'!I29)</f>
        <v>0</v>
      </c>
      <c r="Z5" s="4"/>
      <c r="AA5" s="12" t="s">
        <v>4</v>
      </c>
      <c r="AB5" s="104">
        <f>IF(AB3=0,0,'Objednávkový a nárezový plán'!I26)</f>
        <v>0</v>
      </c>
      <c r="AD5" s="4"/>
      <c r="AE5" s="13" t="s">
        <v>6</v>
      </c>
      <c r="AF5" s="104">
        <f>IF(AF3=0,0,'Objednávkový a nárezový plán'!I27)</f>
        <v>0</v>
      </c>
      <c r="AG5" s="48"/>
      <c r="AH5" s="48"/>
      <c r="AI5" s="142">
        <f>AQ5+AS5</f>
        <v>0</v>
      </c>
      <c r="AJ5" s="143" t="s">
        <v>38</v>
      </c>
      <c r="AK5" s="144">
        <v>200</v>
      </c>
      <c r="AL5" s="145">
        <f>T75</f>
        <v>0</v>
      </c>
      <c r="AM5" s="154">
        <f>AG28</f>
        <v>0</v>
      </c>
      <c r="AN5" s="140">
        <f>IF(AM5=0,0,(ROUNDDOWN(AK5/AM5,0)))</f>
        <v>0</v>
      </c>
      <c r="AO5" s="140">
        <f>AK5-AM5*AN5</f>
        <v>200</v>
      </c>
      <c r="AP5" s="140">
        <f>IF(AM5=0,0,((AO5/AN5)/AM5))*100</f>
        <v>0</v>
      </c>
      <c r="AQ5" s="140">
        <f>IF(AM5=0,0,(IF(AL5*AM5&lt;AK5,1,(IF(AP5&lt;AP6,ROUNDDOWN(AL5/AN5,0),0)))))</f>
        <v>0</v>
      </c>
      <c r="AR5" s="140">
        <f>IF(AQ5&gt;0,AL5-AN5*AQ5,0)*AM5</f>
        <v>0</v>
      </c>
      <c r="AS5" s="140">
        <f>IF(AR7&gt;0,(IF(AR7&lt;=AK5,1,0)),0)</f>
        <v>0</v>
      </c>
      <c r="AT5" s="141"/>
      <c r="AU5" s="80"/>
      <c r="AV5" s="80"/>
      <c r="AW5" s="80"/>
      <c r="AX5" s="80"/>
    </row>
    <row r="6" spans="2:50" ht="15.75" thickBot="1">
      <c r="B6" s="4"/>
      <c r="C6" s="14"/>
      <c r="D6" s="15"/>
      <c r="F6" s="4"/>
      <c r="G6" s="14"/>
      <c r="H6" s="15"/>
      <c r="J6" s="4"/>
      <c r="K6" s="8" t="s">
        <v>5</v>
      </c>
      <c r="L6" s="16">
        <f>IF(L3=0,0,L4-9.2-L5)</f>
        <v>0</v>
      </c>
      <c r="N6" s="4"/>
      <c r="O6" s="10" t="s">
        <v>7</v>
      </c>
      <c r="P6" s="17">
        <f>IF(P3=0,0,P4-7.6-P5)</f>
        <v>0</v>
      </c>
      <c r="R6" s="4"/>
      <c r="S6" s="10" t="s">
        <v>3</v>
      </c>
      <c r="T6" s="17">
        <f>IF(T3=0,0,T4-8.4-T5)</f>
        <v>0</v>
      </c>
      <c r="V6" s="4"/>
      <c r="W6" s="8" t="s">
        <v>2</v>
      </c>
      <c r="X6" s="16">
        <f>IF(X3=0,0,X4-8.4-X5)</f>
        <v>0</v>
      </c>
      <c r="Z6" s="4"/>
      <c r="AA6" s="13" t="s">
        <v>3</v>
      </c>
      <c r="AB6" s="104">
        <f>IF(AB3=0,0,'Objednávkový a nárezový plán'!I29)</f>
        <v>0</v>
      </c>
      <c r="AD6" s="4"/>
      <c r="AE6" s="12" t="s">
        <v>2</v>
      </c>
      <c r="AF6" s="104">
        <f>IF(AF3=0,0,'Objednávkový a nárezový plán'!I28)</f>
        <v>0</v>
      </c>
      <c r="AG6" s="48"/>
      <c r="AH6" s="48"/>
      <c r="AI6" s="146">
        <f>AQ6+AS6</f>
        <v>0</v>
      </c>
      <c r="AJ6" s="147" t="s">
        <v>38</v>
      </c>
      <c r="AK6" s="144">
        <v>300</v>
      </c>
      <c r="AL6" s="140">
        <f>AL5</f>
        <v>0</v>
      </c>
      <c r="AM6" s="140">
        <f>AM5</f>
        <v>0</v>
      </c>
      <c r="AN6" s="140">
        <f>IF(AM6=0,0,(ROUNDDOWN(AK6/AM6,0)))</f>
        <v>0</v>
      </c>
      <c r="AO6" s="140">
        <f>AK6-AM6*AN6</f>
        <v>300</v>
      </c>
      <c r="AP6" s="140">
        <f>IF(AM6=0,0,((AO6/AN6)/AM6))*100</f>
        <v>0</v>
      </c>
      <c r="AQ6" s="140">
        <f>IF(AL6=0,0,(IF(AN8=2,1,(IF(AP6&lt;=AP5,ROUNDDOWN(AL6/AN6,0),0)))))</f>
        <v>0</v>
      </c>
      <c r="AR6" s="140">
        <f>IF(AN8=2,0,(IF(AQ6&gt;0,AL6-AN6*AQ6,0)))*AM6</f>
        <v>0</v>
      </c>
      <c r="AS6" s="140">
        <f>IF(AR7&gt;AK5,1,0)</f>
        <v>0</v>
      </c>
      <c r="AT6" s="141"/>
      <c r="AU6" s="133"/>
      <c r="AV6" s="133"/>
      <c r="AW6" s="133"/>
      <c r="AX6" s="133"/>
    </row>
    <row r="7" spans="2:50">
      <c r="B7" s="4"/>
      <c r="C7" s="14"/>
      <c r="D7" s="15"/>
      <c r="F7" s="4"/>
      <c r="G7" s="14"/>
      <c r="H7" s="15"/>
      <c r="J7" s="4"/>
      <c r="K7" s="14"/>
      <c r="L7" s="15"/>
      <c r="N7" s="4"/>
      <c r="O7" s="14"/>
      <c r="P7" s="15"/>
      <c r="R7" s="4"/>
      <c r="S7" s="14"/>
      <c r="T7" s="15"/>
      <c r="V7" s="4"/>
      <c r="W7" s="14"/>
      <c r="X7" s="15"/>
      <c r="Z7" s="4"/>
      <c r="AA7" s="8" t="s">
        <v>5</v>
      </c>
      <c r="AB7" s="16">
        <f>IF(AB3=0,0,AB4-9.6-AB5-AB6)</f>
        <v>0</v>
      </c>
      <c r="AD7" s="4"/>
      <c r="AE7" s="10" t="s">
        <v>7</v>
      </c>
      <c r="AF7" s="17">
        <f>IF(AF3=0,0,AF4-8.8-AF5-AF6)</f>
        <v>0</v>
      </c>
      <c r="AG7" s="48"/>
      <c r="AH7" s="48"/>
      <c r="AI7" s="138"/>
      <c r="AJ7" s="139"/>
      <c r="AK7" s="139"/>
      <c r="AL7" s="148" t="s">
        <v>123</v>
      </c>
      <c r="AM7" s="148" t="s">
        <v>124</v>
      </c>
      <c r="AN7" s="148" t="s">
        <v>125</v>
      </c>
      <c r="AO7" s="139"/>
      <c r="AP7" s="139"/>
      <c r="AQ7" s="139"/>
      <c r="AR7" s="140">
        <f>SUM(AR5:AR6)</f>
        <v>0</v>
      </c>
      <c r="AS7" s="139"/>
      <c r="AT7" s="149"/>
      <c r="AU7" s="133"/>
      <c r="AV7" s="133"/>
      <c r="AW7" s="133"/>
      <c r="AX7" s="133"/>
    </row>
    <row r="8" spans="2:50" ht="15.75" thickBot="1">
      <c r="B8" s="4"/>
      <c r="C8" s="18"/>
      <c r="D8" s="15"/>
      <c r="F8" s="4"/>
      <c r="G8" s="14"/>
      <c r="H8" s="15"/>
      <c r="J8" s="4"/>
      <c r="K8" s="14"/>
      <c r="L8" s="15"/>
      <c r="N8" s="4"/>
      <c r="O8" s="14"/>
      <c r="P8" s="15"/>
      <c r="R8" s="4"/>
      <c r="S8" s="14"/>
      <c r="T8" s="15"/>
      <c r="V8" s="4"/>
      <c r="W8" s="14"/>
      <c r="X8" s="15"/>
      <c r="Z8" s="4"/>
      <c r="AA8" s="14"/>
      <c r="AB8" s="15"/>
      <c r="AD8" s="4"/>
      <c r="AE8" s="14"/>
      <c r="AF8" s="15"/>
      <c r="AG8" s="48"/>
      <c r="AH8" s="48"/>
      <c r="AI8" s="138"/>
      <c r="AJ8" s="139"/>
      <c r="AK8" s="139"/>
      <c r="AL8" s="150">
        <f>IF(AL5*AM5&gt;200,1,0)</f>
        <v>0</v>
      </c>
      <c r="AM8" s="150">
        <f>IF(AL5*AM5&lt;=300,1,0)</f>
        <v>1</v>
      </c>
      <c r="AN8" s="150">
        <f>SUM(AL8:AM8)</f>
        <v>1</v>
      </c>
      <c r="AO8" s="139"/>
      <c r="AP8" s="139"/>
      <c r="AQ8" s="139"/>
      <c r="AR8" s="139"/>
      <c r="AS8" s="139"/>
      <c r="AT8" s="149"/>
      <c r="AU8" s="133"/>
      <c r="AV8" s="133"/>
      <c r="AW8" s="133"/>
      <c r="AX8" s="133"/>
    </row>
    <row r="9" spans="2:50" ht="15.75" thickBot="1">
      <c r="B9" s="4"/>
      <c r="C9" s="212" t="s">
        <v>23</v>
      </c>
      <c r="D9" s="213"/>
      <c r="F9" s="4"/>
      <c r="G9" s="215" t="s">
        <v>29</v>
      </c>
      <c r="H9" s="216"/>
      <c r="J9" s="4"/>
      <c r="K9" s="212" t="s">
        <v>28</v>
      </c>
      <c r="L9" s="213"/>
      <c r="N9" s="4"/>
      <c r="O9" s="215" t="s">
        <v>24</v>
      </c>
      <c r="P9" s="216"/>
      <c r="R9" s="4"/>
      <c r="S9" s="212" t="s">
        <v>23</v>
      </c>
      <c r="T9" s="213"/>
      <c r="V9" s="4"/>
      <c r="W9" s="215" t="s">
        <v>29</v>
      </c>
      <c r="X9" s="216"/>
      <c r="Z9" s="4"/>
      <c r="AA9" s="212" t="s">
        <v>28</v>
      </c>
      <c r="AB9" s="213"/>
      <c r="AD9" s="4"/>
      <c r="AE9" s="215" t="s">
        <v>24</v>
      </c>
      <c r="AF9" s="216"/>
      <c r="AG9" s="48"/>
      <c r="AH9" s="48"/>
      <c r="AI9" s="151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3"/>
      <c r="AU9" s="133"/>
      <c r="AV9" s="133"/>
      <c r="AW9" s="133"/>
      <c r="AX9" s="133"/>
    </row>
    <row r="10" spans="2:50">
      <c r="B10" s="4"/>
      <c r="C10" s="19" t="s">
        <v>25</v>
      </c>
      <c r="D10" s="20">
        <f>IF(D3=0,0,IF($S$68=0,0,$S$68))</f>
        <v>0</v>
      </c>
      <c r="F10" s="4"/>
      <c r="G10" s="19" t="s">
        <v>25</v>
      </c>
      <c r="H10" s="20">
        <f>IF(H3=0,0,IF($S$69=0,0,$S$69))</f>
        <v>0</v>
      </c>
      <c r="J10" s="4"/>
      <c r="K10" s="19" t="s">
        <v>25</v>
      </c>
      <c r="L10" s="20">
        <f>IF(L3=0,0,IF($S$68=0,0,$S$68))</f>
        <v>0</v>
      </c>
      <c r="N10" s="4"/>
      <c r="O10" s="19" t="s">
        <v>25</v>
      </c>
      <c r="P10" s="20">
        <f>IF(P3=0,0,IF($S$69=0,0,$S$69))</f>
        <v>0</v>
      </c>
      <c r="R10" s="4"/>
      <c r="S10" s="19" t="s">
        <v>25</v>
      </c>
      <c r="T10" s="20">
        <f>IF(T3=0,0,IF($S$68=0,0,$S$68))</f>
        <v>0</v>
      </c>
      <c r="V10" s="4"/>
      <c r="W10" s="19" t="s">
        <v>25</v>
      </c>
      <c r="X10" s="20">
        <f>IF(X3=0,0,IF($S$69=0,0,$S$69))</f>
        <v>0</v>
      </c>
      <c r="Z10" s="4"/>
      <c r="AA10" s="19" t="s">
        <v>25</v>
      </c>
      <c r="AB10" s="20">
        <f>IF(AB3=0,0,IF($S$68=0,0,$S$68))</f>
        <v>0</v>
      </c>
      <c r="AD10" s="4"/>
      <c r="AE10" s="19" t="s">
        <v>25</v>
      </c>
      <c r="AF10" s="20">
        <f>IF(AF3=0,0,IF($S$69=0,0,$S$69))</f>
        <v>0</v>
      </c>
      <c r="AG10" s="48"/>
      <c r="AH10" s="48"/>
      <c r="AI10" s="133"/>
      <c r="AJ10" s="133"/>
      <c r="AK10" s="133"/>
      <c r="AL10" s="133"/>
      <c r="AM10" s="133"/>
      <c r="AN10" s="133"/>
      <c r="AO10" s="134"/>
      <c r="AP10" s="133"/>
      <c r="AQ10" s="133"/>
      <c r="AR10" s="133"/>
      <c r="AS10" s="133"/>
      <c r="AT10" s="133"/>
      <c r="AU10" s="133"/>
      <c r="AV10" s="133"/>
      <c r="AW10" s="133"/>
      <c r="AX10" s="133"/>
    </row>
    <row r="11" spans="2:50" ht="15.75">
      <c r="B11" s="4"/>
      <c r="C11" s="19"/>
      <c r="D11" s="21">
        <f>IF(D3=0,0,"x")</f>
        <v>0</v>
      </c>
      <c r="F11" s="4"/>
      <c r="G11" s="19"/>
      <c r="H11" s="21">
        <f>IF(H3=0,0,"x")</f>
        <v>0</v>
      </c>
      <c r="J11" s="4"/>
      <c r="K11" s="19"/>
      <c r="L11" s="21">
        <f>IF(L3=0,0,"x")</f>
        <v>0</v>
      </c>
      <c r="N11" s="4"/>
      <c r="O11" s="19"/>
      <c r="P11" s="21">
        <f>IF(P3=0,0,"x")</f>
        <v>0</v>
      </c>
      <c r="R11" s="4"/>
      <c r="S11" s="19"/>
      <c r="T11" s="21">
        <f>IF(T3=0,0,"x")</f>
        <v>0</v>
      </c>
      <c r="V11" s="4"/>
      <c r="W11" s="19"/>
      <c r="X11" s="21">
        <f>IF(X3=0,0,"x")</f>
        <v>0</v>
      </c>
      <c r="Z11" s="4"/>
      <c r="AA11" s="19"/>
      <c r="AB11" s="21">
        <f>IF(AB3=0,0,"x")</f>
        <v>0</v>
      </c>
      <c r="AD11" s="4"/>
      <c r="AE11" s="19"/>
      <c r="AF11" s="21">
        <f>IF(AF3=0,0,"x")</f>
        <v>0</v>
      </c>
      <c r="AG11" s="48"/>
      <c r="AH11" s="48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</row>
    <row r="12" spans="2:50" ht="15.75" thickBot="1">
      <c r="B12" s="4"/>
      <c r="C12" s="22" t="s">
        <v>26</v>
      </c>
      <c r="D12" s="23">
        <f>D5</f>
        <v>0</v>
      </c>
      <c r="F12" s="4"/>
      <c r="G12" s="22" t="s">
        <v>26</v>
      </c>
      <c r="H12" s="23">
        <f>H5</f>
        <v>0</v>
      </c>
      <c r="J12" s="4"/>
      <c r="K12" s="22" t="s">
        <v>26</v>
      </c>
      <c r="L12" s="23">
        <f>L5</f>
        <v>0</v>
      </c>
      <c r="N12" s="4"/>
      <c r="O12" s="22" t="s">
        <v>26</v>
      </c>
      <c r="P12" s="23">
        <f>P5</f>
        <v>0</v>
      </c>
      <c r="R12" s="4"/>
      <c r="S12" s="22" t="s">
        <v>26</v>
      </c>
      <c r="T12" s="23">
        <f>T5</f>
        <v>0</v>
      </c>
      <c r="V12" s="4"/>
      <c r="W12" s="22" t="s">
        <v>26</v>
      </c>
      <c r="X12" s="23">
        <f>X5</f>
        <v>0</v>
      </c>
      <c r="Z12" s="4"/>
      <c r="AA12" s="22" t="s">
        <v>26</v>
      </c>
      <c r="AB12" s="23">
        <f>AB5</f>
        <v>0</v>
      </c>
      <c r="AD12" s="4"/>
      <c r="AE12" s="22" t="s">
        <v>26</v>
      </c>
      <c r="AF12" s="23">
        <f>AF5</f>
        <v>0</v>
      </c>
      <c r="AG12" s="48"/>
      <c r="AH12" s="48"/>
    </row>
    <row r="13" spans="2:50" ht="15.75" thickBot="1">
      <c r="B13" s="4"/>
      <c r="C13" s="18"/>
      <c r="D13" s="15"/>
      <c r="F13" s="4"/>
      <c r="G13" s="14"/>
      <c r="H13" s="15"/>
      <c r="J13" s="4"/>
      <c r="K13" s="14"/>
      <c r="L13" s="15"/>
      <c r="N13" s="4"/>
      <c r="O13" s="14"/>
      <c r="P13" s="15"/>
      <c r="R13" s="4"/>
      <c r="S13" s="14"/>
      <c r="T13" s="15"/>
      <c r="V13" s="4"/>
      <c r="W13" s="14"/>
      <c r="X13" s="15"/>
      <c r="Z13" s="4"/>
      <c r="AA13" s="14"/>
      <c r="AB13" s="15"/>
      <c r="AD13" s="4"/>
      <c r="AE13" s="14"/>
      <c r="AF13" s="15"/>
      <c r="AG13" s="48"/>
      <c r="AH13" s="48"/>
      <c r="AI13" s="1" t="s">
        <v>57</v>
      </c>
    </row>
    <row r="14" spans="2:50">
      <c r="B14" s="4"/>
      <c r="C14" s="209" t="s">
        <v>31</v>
      </c>
      <c r="D14" s="24">
        <f>IF(D3=0,0,IF($S$70=0,0,$S$70))</f>
        <v>0</v>
      </c>
      <c r="F14" s="4"/>
      <c r="G14" s="209" t="s">
        <v>31</v>
      </c>
      <c r="H14" s="24">
        <f>IF(H3=0,0,IF($S$70=0,0,$S$70))</f>
        <v>0</v>
      </c>
      <c r="J14" s="4"/>
      <c r="K14" s="212" t="s">
        <v>30</v>
      </c>
      <c r="L14" s="213"/>
      <c r="N14" s="4"/>
      <c r="O14" s="215" t="s">
        <v>27</v>
      </c>
      <c r="P14" s="216"/>
      <c r="R14" s="4"/>
      <c r="S14" s="215" t="s">
        <v>29</v>
      </c>
      <c r="T14" s="216"/>
      <c r="V14" s="4"/>
      <c r="W14" s="212" t="s">
        <v>23</v>
      </c>
      <c r="X14" s="213"/>
      <c r="Z14" s="4"/>
      <c r="AA14" s="215" t="s">
        <v>29</v>
      </c>
      <c r="AB14" s="216"/>
      <c r="AD14" s="4"/>
      <c r="AE14" s="212" t="s">
        <v>23</v>
      </c>
      <c r="AF14" s="213"/>
      <c r="AG14" s="48"/>
      <c r="AH14" s="48"/>
      <c r="AI14" s="135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7"/>
      <c r="AU14" s="132"/>
      <c r="AV14" s="132"/>
      <c r="AW14" s="132"/>
      <c r="AX14" s="79"/>
    </row>
    <row r="15" spans="2:50" ht="15.75" thickBot="1">
      <c r="B15" s="4"/>
      <c r="C15" s="211"/>
      <c r="D15" s="25"/>
      <c r="F15" s="4"/>
      <c r="G15" s="211"/>
      <c r="H15" s="25"/>
      <c r="J15" s="4"/>
      <c r="K15" s="19" t="s">
        <v>25</v>
      </c>
      <c r="L15" s="20">
        <f>IF(L3=0,0,IF($S$68=0,0,$S$68))</f>
        <v>0</v>
      </c>
      <c r="N15" s="4"/>
      <c r="O15" s="19" t="s">
        <v>25</v>
      </c>
      <c r="P15" s="20">
        <f>IF(P3=0,0,IF($S$69=0,0,$S$69))</f>
        <v>0</v>
      </c>
      <c r="R15" s="4"/>
      <c r="S15" s="19" t="s">
        <v>25</v>
      </c>
      <c r="T15" s="20">
        <f>IF(T3=0,0,IF($S$69=0,0,$S$69))</f>
        <v>0</v>
      </c>
      <c r="V15" s="4"/>
      <c r="W15" s="19" t="s">
        <v>25</v>
      </c>
      <c r="X15" s="20">
        <f>IF(X3=0,0,IF($S$68=0,0,$S$68))</f>
        <v>0</v>
      </c>
      <c r="Z15" s="4"/>
      <c r="AA15" s="19" t="s">
        <v>25</v>
      </c>
      <c r="AB15" s="20">
        <f>IF(AB3=0,0,IF($S$69=0,0,$S$69))</f>
        <v>0</v>
      </c>
      <c r="AD15" s="4"/>
      <c r="AE15" s="19" t="s">
        <v>25</v>
      </c>
      <c r="AF15" s="20">
        <f>IF(AF3=0,0,IF($S$68=0,0,$S$68))</f>
        <v>0</v>
      </c>
      <c r="AG15" s="48">
        <f>IF((L28+P28+T28+X28)&gt;0,1,0)</f>
        <v>0</v>
      </c>
      <c r="AH15" s="48">
        <f>T75*AG15/2</f>
        <v>0</v>
      </c>
      <c r="AI15" s="138"/>
      <c r="AJ15" s="139"/>
      <c r="AK15" s="140" t="s">
        <v>117</v>
      </c>
      <c r="AL15" s="140" t="s">
        <v>38</v>
      </c>
      <c r="AM15" s="140" t="s">
        <v>84</v>
      </c>
      <c r="AN15" s="140" t="s">
        <v>118</v>
      </c>
      <c r="AO15" s="140" t="s">
        <v>119</v>
      </c>
      <c r="AP15" s="140" t="s">
        <v>120</v>
      </c>
      <c r="AQ15" s="140" t="s">
        <v>121</v>
      </c>
      <c r="AR15" s="140" t="s">
        <v>122</v>
      </c>
      <c r="AS15" s="140"/>
      <c r="AT15" s="141"/>
      <c r="AU15" s="80"/>
      <c r="AV15" s="80"/>
      <c r="AW15" s="80"/>
      <c r="AX15" s="80"/>
    </row>
    <row r="16" spans="2:50" ht="16.5" thickBot="1">
      <c r="B16" s="4"/>
      <c r="C16" s="18"/>
      <c r="D16" s="21"/>
      <c r="F16" s="4"/>
      <c r="G16" s="14"/>
      <c r="H16" s="21"/>
      <c r="J16" s="4"/>
      <c r="K16" s="19"/>
      <c r="L16" s="21">
        <f>IF(L3=0,0,"x")</f>
        <v>0</v>
      </c>
      <c r="N16" s="4"/>
      <c r="O16" s="19"/>
      <c r="P16" s="21">
        <f>IF(P3=0,0,"x")</f>
        <v>0</v>
      </c>
      <c r="R16" s="4"/>
      <c r="S16" s="19"/>
      <c r="T16" s="21">
        <f>IF(T3=0,0,"x")</f>
        <v>0</v>
      </c>
      <c r="V16" s="4"/>
      <c r="W16" s="19"/>
      <c r="X16" s="21">
        <f>IF(X3=0,0,"x")</f>
        <v>0</v>
      </c>
      <c r="Z16" s="4"/>
      <c r="AA16" s="19"/>
      <c r="AB16" s="21">
        <f>IF(AB3=0,0,"x")</f>
        <v>0</v>
      </c>
      <c r="AD16" s="4"/>
      <c r="AE16" s="19"/>
      <c r="AF16" s="21">
        <f>IF(AF3=0,0,"x")</f>
        <v>0</v>
      </c>
      <c r="AG16" s="48">
        <f>IF((AB28+AF28)&gt;0,2,0)</f>
        <v>0</v>
      </c>
      <c r="AH16" s="48">
        <f>T75*AG16/2</f>
        <v>0</v>
      </c>
      <c r="AI16" s="142">
        <f>AQ16+AS16</f>
        <v>0</v>
      </c>
      <c r="AJ16" s="143" t="s">
        <v>38</v>
      </c>
      <c r="AK16" s="144">
        <v>200</v>
      </c>
      <c r="AL16" s="145">
        <f>AH17</f>
        <v>0</v>
      </c>
      <c r="AM16" s="154">
        <f>AG28</f>
        <v>0</v>
      </c>
      <c r="AN16" s="140">
        <f>IF(AM16=0,0,(ROUNDDOWN(AK16/AM16,0)))</f>
        <v>0</v>
      </c>
      <c r="AO16" s="140">
        <f>AK16-AM16*AN16</f>
        <v>200</v>
      </c>
      <c r="AP16" s="140">
        <f>IF(AM16=0,0,((AO16/AN16)/AM16))*100</f>
        <v>0</v>
      </c>
      <c r="AQ16" s="140">
        <f>IF(AM16=0,0,(IF(AL16*AM16&lt;AK16,1,(IF(AP16&lt;AP17,ROUNDDOWN(AL16/AN16,0),0)))))</f>
        <v>0</v>
      </c>
      <c r="AR16" s="140">
        <f>IF(AQ16&gt;0,AL16-AN16*AQ16,0)*AM16</f>
        <v>0</v>
      </c>
      <c r="AS16" s="140">
        <f>IF(AR18&gt;0,(IF(AR18&lt;=AK16,1,0)),0)</f>
        <v>0</v>
      </c>
      <c r="AT16" s="141"/>
      <c r="AU16" s="80"/>
      <c r="AV16" s="80"/>
      <c r="AW16" s="80"/>
      <c r="AX16" s="80"/>
    </row>
    <row r="17" spans="1:50" ht="15.75" thickBot="1">
      <c r="B17" s="4"/>
      <c r="C17" s="18"/>
      <c r="D17" s="15"/>
      <c r="F17" s="4"/>
      <c r="G17" s="14"/>
      <c r="H17" s="15"/>
      <c r="J17" s="4"/>
      <c r="K17" s="22" t="s">
        <v>26</v>
      </c>
      <c r="L17" s="23">
        <f>L6</f>
        <v>0</v>
      </c>
      <c r="N17" s="4"/>
      <c r="O17" s="22" t="s">
        <v>26</v>
      </c>
      <c r="P17" s="23">
        <f>P6</f>
        <v>0</v>
      </c>
      <c r="R17" s="4"/>
      <c r="S17" s="22" t="s">
        <v>26</v>
      </c>
      <c r="T17" s="23">
        <f>T6</f>
        <v>0</v>
      </c>
      <c r="V17" s="4"/>
      <c r="W17" s="22" t="s">
        <v>26</v>
      </c>
      <c r="X17" s="23">
        <f>X6</f>
        <v>0</v>
      </c>
      <c r="Z17" s="4"/>
      <c r="AA17" s="22" t="s">
        <v>26</v>
      </c>
      <c r="AB17" s="23">
        <f>AB6</f>
        <v>0</v>
      </c>
      <c r="AD17" s="4"/>
      <c r="AE17" s="22" t="s">
        <v>26</v>
      </c>
      <c r="AF17" s="26">
        <f>AF6</f>
        <v>0</v>
      </c>
      <c r="AG17" s="48"/>
      <c r="AH17" s="48">
        <f>SUM(AH15:AH16)</f>
        <v>0</v>
      </c>
      <c r="AI17" s="146">
        <f>AQ17+AS17</f>
        <v>0</v>
      </c>
      <c r="AJ17" s="147" t="s">
        <v>38</v>
      </c>
      <c r="AK17" s="144">
        <v>300</v>
      </c>
      <c r="AL17" s="140">
        <f>AL16</f>
        <v>0</v>
      </c>
      <c r="AM17" s="140">
        <f>AM16</f>
        <v>0</v>
      </c>
      <c r="AN17" s="140">
        <f>IF(AM17=0,0,(ROUNDDOWN(AK17/AM17,0)))</f>
        <v>0</v>
      </c>
      <c r="AO17" s="140">
        <f>AK17-AM17*AN17</f>
        <v>300</v>
      </c>
      <c r="AP17" s="140">
        <f>IF(AM17=0,0,((AO17/AN17)/AM17))*100</f>
        <v>0</v>
      </c>
      <c r="AQ17" s="140">
        <f>IF(AL17=0,0,(IF(AN19=2,1,(IF(AP17&lt;=AP16,ROUNDDOWN(AL17/AN17,0),0)))))</f>
        <v>0</v>
      </c>
      <c r="AR17" s="140">
        <f>IF(AN19=2,0,(IF(AQ17&gt;0,AL17-AN17*AQ17,0)))*AM17</f>
        <v>0</v>
      </c>
      <c r="AS17" s="140">
        <f>IF(AR18&gt;AK16,1,0)</f>
        <v>0</v>
      </c>
      <c r="AT17" s="141"/>
      <c r="AU17" s="133"/>
      <c r="AV17" s="133"/>
      <c r="AW17" s="133"/>
      <c r="AX17" s="133"/>
    </row>
    <row r="18" spans="1:50" ht="15.75" thickBot="1">
      <c r="B18" s="4"/>
      <c r="C18" s="18"/>
      <c r="D18" s="15"/>
      <c r="F18" s="4"/>
      <c r="G18" s="14"/>
      <c r="H18" s="15"/>
      <c r="J18" s="4"/>
      <c r="K18" s="14"/>
      <c r="L18" s="15"/>
      <c r="N18" s="4"/>
      <c r="O18" s="14"/>
      <c r="P18" s="15"/>
      <c r="R18" s="4"/>
      <c r="S18" s="14"/>
      <c r="T18" s="15"/>
      <c r="V18" s="4"/>
      <c r="W18" s="14"/>
      <c r="X18" s="15"/>
      <c r="Z18" s="4"/>
      <c r="AA18" s="14"/>
      <c r="AB18" s="15"/>
      <c r="AD18" s="4"/>
      <c r="AE18" s="14"/>
      <c r="AF18" s="15"/>
      <c r="AG18" s="48"/>
      <c r="AH18" s="48"/>
      <c r="AI18" s="138"/>
      <c r="AJ18" s="139"/>
      <c r="AK18" s="139"/>
      <c r="AL18" s="148" t="s">
        <v>123</v>
      </c>
      <c r="AM18" s="148" t="s">
        <v>124</v>
      </c>
      <c r="AN18" s="148" t="s">
        <v>125</v>
      </c>
      <c r="AO18" s="139"/>
      <c r="AP18" s="139"/>
      <c r="AQ18" s="139"/>
      <c r="AR18" s="140">
        <f>SUM(AR16:AR17)</f>
        <v>0</v>
      </c>
      <c r="AS18" s="139"/>
      <c r="AT18" s="149"/>
      <c r="AU18" s="133"/>
      <c r="AV18" s="133"/>
      <c r="AW18" s="133"/>
      <c r="AX18" s="133"/>
    </row>
    <row r="19" spans="1:50">
      <c r="B19" s="4"/>
      <c r="C19" s="18"/>
      <c r="D19" s="15"/>
      <c r="F19" s="4"/>
      <c r="G19" s="14"/>
      <c r="H19" s="15"/>
      <c r="J19" s="4"/>
      <c r="K19" s="209" t="s">
        <v>31</v>
      </c>
      <c r="L19" s="24">
        <f>IF(L3=0,0,IF($S$70=0,0,$S$70))</f>
        <v>0</v>
      </c>
      <c r="N19" s="4"/>
      <c r="O19" s="209" t="s">
        <v>31</v>
      </c>
      <c r="P19" s="24">
        <f>IF(P3=0,0,IF($S$70=0,0,$S$70))</f>
        <v>0</v>
      </c>
      <c r="R19" s="4"/>
      <c r="S19" s="209" t="s">
        <v>31</v>
      </c>
      <c r="T19" s="24">
        <f>IF(T3=0,0,IF($S$70=0,0,$S$70))</f>
        <v>0</v>
      </c>
      <c r="V19" s="4"/>
      <c r="W19" s="209" t="s">
        <v>31</v>
      </c>
      <c r="X19" s="24">
        <f>IF(X3=0,0,IF($S$70=0,0,$S$70))</f>
        <v>0</v>
      </c>
      <c r="Z19" s="4"/>
      <c r="AA19" s="212" t="s">
        <v>30</v>
      </c>
      <c r="AB19" s="213"/>
      <c r="AD19" s="4"/>
      <c r="AE19" s="215" t="s">
        <v>27</v>
      </c>
      <c r="AF19" s="216"/>
      <c r="AG19" s="48"/>
      <c r="AH19" s="48"/>
      <c r="AI19" s="138"/>
      <c r="AJ19" s="139"/>
      <c r="AK19" s="139"/>
      <c r="AL19" s="150">
        <f>IF(AL16*AM16&gt;200,1,0)</f>
        <v>0</v>
      </c>
      <c r="AM19" s="150">
        <f>IF(AL16*AM16&lt;=300,1,0)</f>
        <v>1</v>
      </c>
      <c r="AN19" s="150">
        <f>SUM(AL19:AM19)</f>
        <v>1</v>
      </c>
      <c r="AO19" s="139"/>
      <c r="AP19" s="139"/>
      <c r="AQ19" s="139"/>
      <c r="AR19" s="139"/>
      <c r="AS19" s="139"/>
      <c r="AT19" s="149"/>
      <c r="AU19" s="133"/>
      <c r="AV19" s="133"/>
      <c r="AW19" s="133"/>
      <c r="AX19" s="133"/>
    </row>
    <row r="20" spans="1:50" ht="15.75" thickBot="1">
      <c r="B20" s="4"/>
      <c r="C20" s="18"/>
      <c r="D20" s="15"/>
      <c r="F20" s="4"/>
      <c r="G20" s="14"/>
      <c r="H20" s="15"/>
      <c r="J20" s="4"/>
      <c r="K20" s="211"/>
      <c r="L20" s="25"/>
      <c r="N20" s="4"/>
      <c r="O20" s="211"/>
      <c r="P20" s="25"/>
      <c r="R20" s="4"/>
      <c r="S20" s="211"/>
      <c r="T20" s="25"/>
      <c r="V20" s="4"/>
      <c r="W20" s="211"/>
      <c r="X20" s="25"/>
      <c r="Z20" s="4"/>
      <c r="AA20" s="19" t="s">
        <v>25</v>
      </c>
      <c r="AB20" s="20">
        <f>IF(AB3=0,0,IF($S$68=0,0,$S$68))</f>
        <v>0</v>
      </c>
      <c r="AD20" s="4"/>
      <c r="AE20" s="19" t="s">
        <v>25</v>
      </c>
      <c r="AF20" s="20">
        <f>IF(AF3=0,0,IF($S$69=0,0,$S$69))</f>
        <v>0</v>
      </c>
      <c r="AG20" s="48"/>
      <c r="AH20" s="48"/>
      <c r="AI20" s="151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3"/>
      <c r="AU20" s="133"/>
      <c r="AV20" s="133"/>
      <c r="AW20" s="133"/>
      <c r="AX20" s="133"/>
    </row>
    <row r="21" spans="1:50" ht="15.75">
      <c r="B21" s="4"/>
      <c r="C21" s="18"/>
      <c r="D21" s="15"/>
      <c r="F21" s="4"/>
      <c r="G21" s="14"/>
      <c r="H21" s="15"/>
      <c r="J21" s="4"/>
      <c r="K21" s="14"/>
      <c r="L21" s="15"/>
      <c r="N21" s="4"/>
      <c r="O21" s="14"/>
      <c r="P21" s="15"/>
      <c r="R21" s="4"/>
      <c r="S21" s="14"/>
      <c r="T21" s="15"/>
      <c r="V21" s="4"/>
      <c r="W21" s="14"/>
      <c r="X21" s="15"/>
      <c r="Z21" s="4"/>
      <c r="AA21" s="19"/>
      <c r="AB21" s="21">
        <f>IF(AB3=0,0,"x")</f>
        <v>0</v>
      </c>
      <c r="AD21" s="4"/>
      <c r="AE21" s="19"/>
      <c r="AF21" s="21">
        <f>IF(AF3=0,0,"x")</f>
        <v>0</v>
      </c>
      <c r="AG21" s="48"/>
      <c r="AH21" s="48"/>
      <c r="AI21" s="133"/>
      <c r="AJ21" s="133"/>
      <c r="AK21" s="133"/>
      <c r="AL21" s="133"/>
      <c r="AM21" s="133"/>
      <c r="AN21" s="133"/>
      <c r="AO21" s="134"/>
      <c r="AP21" s="133"/>
      <c r="AQ21" s="133"/>
      <c r="AR21" s="133"/>
      <c r="AS21" s="133"/>
      <c r="AT21" s="133"/>
      <c r="AU21" s="133"/>
      <c r="AV21" s="133"/>
      <c r="AW21" s="133"/>
      <c r="AX21" s="133"/>
    </row>
    <row r="22" spans="1:50" ht="15.75" thickBot="1">
      <c r="B22" s="4"/>
      <c r="C22" s="18"/>
      <c r="D22" s="15"/>
      <c r="F22" s="4"/>
      <c r="G22" s="14"/>
      <c r="H22" s="15"/>
      <c r="J22" s="4"/>
      <c r="K22" s="14"/>
      <c r="L22" s="15"/>
      <c r="N22" s="4"/>
      <c r="O22" s="14"/>
      <c r="P22" s="15"/>
      <c r="R22" s="4"/>
      <c r="S22" s="14"/>
      <c r="T22" s="15"/>
      <c r="V22" s="4"/>
      <c r="W22" s="14"/>
      <c r="X22" s="15"/>
      <c r="Z22" s="4"/>
      <c r="AA22" s="22" t="s">
        <v>26</v>
      </c>
      <c r="AB22" s="23">
        <f>AB7</f>
        <v>0</v>
      </c>
      <c r="AD22" s="4"/>
      <c r="AE22" s="22" t="s">
        <v>26</v>
      </c>
      <c r="AF22" s="26">
        <f>AF7</f>
        <v>0</v>
      </c>
      <c r="AG22" s="48"/>
      <c r="AH22" s="48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</row>
    <row r="23" spans="1:50" ht="15.75" thickBot="1">
      <c r="B23" s="4"/>
      <c r="C23" s="18"/>
      <c r="D23" s="15"/>
      <c r="F23" s="4"/>
      <c r="G23" s="14"/>
      <c r="H23" s="15"/>
      <c r="J23" s="4"/>
      <c r="K23" s="14"/>
      <c r="L23" s="15"/>
      <c r="N23" s="4"/>
      <c r="O23" s="14"/>
      <c r="P23" s="15"/>
      <c r="R23" s="4"/>
      <c r="S23" s="14"/>
      <c r="T23" s="15"/>
      <c r="V23" s="4"/>
      <c r="W23" s="14"/>
      <c r="X23" s="15"/>
      <c r="Z23" s="4"/>
      <c r="AA23" s="14"/>
      <c r="AB23" s="15"/>
      <c r="AD23" s="4"/>
      <c r="AE23" s="14"/>
      <c r="AF23" s="15"/>
      <c r="AG23" s="48"/>
      <c r="AH23" s="48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</row>
    <row r="24" spans="1:50">
      <c r="B24" s="4"/>
      <c r="C24" s="18"/>
      <c r="D24" s="15"/>
      <c r="F24" s="4"/>
      <c r="G24" s="14"/>
      <c r="H24" s="15"/>
      <c r="J24" s="4"/>
      <c r="K24" s="14"/>
      <c r="L24" s="15"/>
      <c r="N24" s="4"/>
      <c r="O24" s="14"/>
      <c r="P24" s="15"/>
      <c r="R24" s="4"/>
      <c r="S24" s="14"/>
      <c r="T24" s="15"/>
      <c r="V24" s="4"/>
      <c r="W24" s="14"/>
      <c r="X24" s="15"/>
      <c r="Z24" s="4"/>
      <c r="AA24" s="209" t="s">
        <v>31</v>
      </c>
      <c r="AB24" s="24">
        <f>IF(AB3=0,0,IF($S$70=0,0,$S$70))</f>
        <v>0</v>
      </c>
      <c r="AD24" s="4"/>
      <c r="AE24" s="209" t="s">
        <v>31</v>
      </c>
      <c r="AF24" s="24">
        <f>IF(AF3=0,0,IF($S$70=0,0,$S$70))</f>
        <v>0</v>
      </c>
      <c r="AG24" s="48"/>
      <c r="AH24" s="48"/>
    </row>
    <row r="25" spans="1:50" ht="15.75" thickBot="1">
      <c r="B25" s="27"/>
      <c r="C25" s="28"/>
      <c r="D25" s="29"/>
      <c r="F25" s="27"/>
      <c r="G25" s="28"/>
      <c r="H25" s="29"/>
      <c r="J25" s="27"/>
      <c r="K25" s="28"/>
      <c r="L25" s="29"/>
      <c r="N25" s="27"/>
      <c r="O25" s="28"/>
      <c r="P25" s="29"/>
      <c r="R25" s="27"/>
      <c r="S25" s="28"/>
      <c r="T25" s="29"/>
      <c r="V25" s="27"/>
      <c r="W25" s="28"/>
      <c r="X25" s="29"/>
      <c r="Z25" s="27"/>
      <c r="AA25" s="210"/>
      <c r="AB25" s="30"/>
      <c r="AD25" s="27"/>
      <c r="AE25" s="210"/>
      <c r="AF25" s="31"/>
      <c r="AG25" s="48"/>
      <c r="AH25" s="48"/>
    </row>
    <row r="26" spans="1:50">
      <c r="A26" s="48"/>
      <c r="B26" s="48">
        <f>IF(D3=0,0,2)</f>
        <v>0</v>
      </c>
      <c r="C26" s="48" t="s">
        <v>36</v>
      </c>
      <c r="D26" s="48">
        <f>2*D14</f>
        <v>0</v>
      </c>
      <c r="E26" s="48"/>
      <c r="F26" s="48">
        <f>IF(H3=0,0,2)</f>
        <v>0</v>
      </c>
      <c r="G26" s="48"/>
      <c r="H26" s="48">
        <f>2*H14</f>
        <v>0</v>
      </c>
      <c r="I26" s="48"/>
      <c r="J26" s="48">
        <f>IF(L3=0,0,3)</f>
        <v>0</v>
      </c>
      <c r="K26" s="48"/>
      <c r="L26" s="48">
        <f>2*L19</f>
        <v>0</v>
      </c>
      <c r="M26" s="48"/>
      <c r="N26" s="48">
        <f>IF(P3=0,0,3)</f>
        <v>0</v>
      </c>
      <c r="O26" s="48"/>
      <c r="P26" s="48">
        <f>2*P19</f>
        <v>0</v>
      </c>
      <c r="Q26" s="48"/>
      <c r="R26" s="48">
        <f>IF(T3=0,0,3)</f>
        <v>0</v>
      </c>
      <c r="S26" s="48"/>
      <c r="T26" s="48">
        <f>2*T19</f>
        <v>0</v>
      </c>
      <c r="U26" s="48"/>
      <c r="V26" s="48">
        <f>IF(X3=0,0,3)</f>
        <v>0</v>
      </c>
      <c r="W26" s="48"/>
      <c r="X26" s="48">
        <f>2*X19</f>
        <v>0</v>
      </c>
      <c r="Y26" s="48"/>
      <c r="Z26" s="48">
        <f>IF(AB3=0,0,4)</f>
        <v>0</v>
      </c>
      <c r="AA26" s="48"/>
      <c r="AB26" s="48">
        <f>2*AB24</f>
        <v>0</v>
      </c>
      <c r="AC26" s="48"/>
      <c r="AD26" s="48">
        <f>IF(AF3=0,0,4)</f>
        <v>0</v>
      </c>
      <c r="AE26" s="48">
        <f>B26+F26+J26+N26+V26+R26+Z26+AD26</f>
        <v>0</v>
      </c>
      <c r="AF26" s="48">
        <f>2*AF24</f>
        <v>0</v>
      </c>
      <c r="AG26" s="48">
        <f>SUM(D26:AF26)</f>
        <v>0</v>
      </c>
      <c r="AH26" s="48"/>
    </row>
    <row r="27" spans="1:50">
      <c r="A27" s="48"/>
      <c r="B27" s="48"/>
      <c r="C27" s="48" t="s">
        <v>37</v>
      </c>
      <c r="D27" s="48"/>
      <c r="E27" s="48"/>
      <c r="F27" s="48"/>
      <c r="G27" s="48"/>
      <c r="H27" s="48"/>
      <c r="I27" s="48"/>
      <c r="J27" s="48"/>
      <c r="K27" s="48"/>
      <c r="L27" s="82">
        <f>L19</f>
        <v>0</v>
      </c>
      <c r="M27" s="48"/>
      <c r="N27" s="48"/>
      <c r="O27" s="48"/>
      <c r="P27" s="82">
        <f>P19</f>
        <v>0</v>
      </c>
      <c r="Q27" s="48"/>
      <c r="R27" s="48"/>
      <c r="S27" s="48"/>
      <c r="T27" s="82">
        <f>T19</f>
        <v>0</v>
      </c>
      <c r="U27" s="48"/>
      <c r="V27" s="48"/>
      <c r="W27" s="48"/>
      <c r="X27" s="82">
        <f>X19</f>
        <v>0</v>
      </c>
      <c r="Y27" s="48"/>
      <c r="Z27" s="48"/>
      <c r="AA27" s="48"/>
      <c r="AB27" s="48">
        <f>2*AB24</f>
        <v>0</v>
      </c>
      <c r="AC27" s="48"/>
      <c r="AD27" s="48"/>
      <c r="AE27" s="48"/>
      <c r="AF27" s="48">
        <f>2*AF24</f>
        <v>0</v>
      </c>
      <c r="AG27" s="48">
        <f>SUM(D27:AF27)</f>
        <v>0</v>
      </c>
      <c r="AH27" s="48"/>
    </row>
    <row r="28" spans="1:50">
      <c r="A28" s="48"/>
      <c r="B28" s="48"/>
      <c r="C28" s="48"/>
      <c r="D28" s="82">
        <f>D14</f>
        <v>0</v>
      </c>
      <c r="E28" s="48"/>
      <c r="F28" s="48"/>
      <c r="G28" s="48"/>
      <c r="H28" s="82">
        <f>H14</f>
        <v>0</v>
      </c>
      <c r="I28" s="48"/>
      <c r="J28" s="48"/>
      <c r="K28" s="48"/>
      <c r="L28" s="82">
        <f>L19</f>
        <v>0</v>
      </c>
      <c r="M28" s="48"/>
      <c r="N28" s="48"/>
      <c r="O28" s="48"/>
      <c r="P28" s="82">
        <f>P19</f>
        <v>0</v>
      </c>
      <c r="Q28" s="48"/>
      <c r="R28" s="48"/>
      <c r="S28" s="48"/>
      <c r="T28" s="82">
        <f>T19</f>
        <v>0</v>
      </c>
      <c r="U28" s="48"/>
      <c r="V28" s="48"/>
      <c r="W28" s="48"/>
      <c r="X28" s="82">
        <f>X19</f>
        <v>0</v>
      </c>
      <c r="Y28" s="48"/>
      <c r="Z28" s="48"/>
      <c r="AA28" s="48"/>
      <c r="AB28" s="82">
        <f>AB24</f>
        <v>0</v>
      </c>
      <c r="AC28" s="48"/>
      <c r="AD28" s="48"/>
      <c r="AE28" s="48"/>
      <c r="AF28" s="82">
        <f>AF24</f>
        <v>0</v>
      </c>
      <c r="AG28" s="82">
        <f>SUM(D28:AF28)</f>
        <v>0</v>
      </c>
      <c r="AH28" s="48"/>
    </row>
    <row r="29" spans="1:50">
      <c r="B29" s="214"/>
      <c r="C29" s="214"/>
      <c r="D29" s="214"/>
      <c r="F29" s="214"/>
      <c r="G29" s="214"/>
      <c r="H29" s="214"/>
      <c r="J29" s="214"/>
      <c r="K29" s="214"/>
      <c r="L29" s="214"/>
      <c r="N29" s="214"/>
      <c r="O29" s="214"/>
      <c r="P29" s="214"/>
    </row>
    <row r="30" spans="1:50">
      <c r="B30" s="214"/>
      <c r="C30" s="214"/>
      <c r="D30" s="214"/>
      <c r="F30" s="214"/>
      <c r="G30" s="214"/>
      <c r="H30" s="214"/>
      <c r="J30" s="214"/>
      <c r="K30" s="214"/>
      <c r="L30" s="214"/>
      <c r="N30" s="214"/>
      <c r="O30" s="214"/>
      <c r="P30" s="214"/>
    </row>
    <row r="31" spans="1:50">
      <c r="B31" s="214"/>
      <c r="C31" s="214"/>
      <c r="D31" s="214"/>
      <c r="F31" s="214"/>
      <c r="G31" s="214"/>
      <c r="H31" s="214"/>
      <c r="J31" s="214"/>
      <c r="K31" s="214"/>
      <c r="L31" s="214"/>
      <c r="N31" s="214"/>
      <c r="O31" s="214"/>
      <c r="P31" s="214"/>
      <c r="R31" s="110" t="s">
        <v>109</v>
      </c>
      <c r="S31" s="110" t="s">
        <v>110</v>
      </c>
      <c r="T31" s="110" t="s">
        <v>29</v>
      </c>
      <c r="U31" s="110"/>
      <c r="V31" s="110" t="s">
        <v>24</v>
      </c>
    </row>
    <row r="32" spans="1:50">
      <c r="B32" s="214"/>
      <c r="C32" s="214"/>
      <c r="D32" s="214"/>
      <c r="F32" s="214"/>
      <c r="G32" s="214"/>
      <c r="H32" s="214"/>
      <c r="J32" s="214"/>
      <c r="K32" s="214"/>
      <c r="L32" s="214"/>
      <c r="N32" s="214"/>
      <c r="O32" s="214"/>
      <c r="P32" s="214"/>
      <c r="R32" s="110">
        <f>IF(T3&gt;0,1,0)</f>
        <v>0</v>
      </c>
      <c r="S32" s="110">
        <f>IF(L3&gt;0,1,0)</f>
        <v>0</v>
      </c>
      <c r="T32" s="110">
        <f>IF(X3&gt;0,1,0)</f>
        <v>0</v>
      </c>
      <c r="U32" s="110"/>
      <c r="V32" s="110">
        <f>IF(P3&gt;0,1,0)</f>
        <v>0</v>
      </c>
    </row>
    <row r="33" spans="2:31" ht="15.75" thickBot="1">
      <c r="B33" s="214"/>
      <c r="C33" s="214"/>
      <c r="D33" s="214"/>
      <c r="F33" s="214"/>
      <c r="G33" s="214"/>
      <c r="H33" s="214"/>
      <c r="J33" s="214"/>
      <c r="K33" s="214"/>
      <c r="L33" s="214"/>
      <c r="N33" s="214"/>
      <c r="O33" s="214"/>
      <c r="P33" s="214"/>
      <c r="R33" s="110">
        <f>IF(AF3&gt;0,1,0)</f>
        <v>0</v>
      </c>
      <c r="S33" s="110">
        <f>IF(AB3&gt;0,1,0)</f>
        <v>0</v>
      </c>
      <c r="T33" s="110">
        <f>IF(AB3&gt;0,1,0)</f>
        <v>0</v>
      </c>
      <c r="U33" s="110"/>
      <c r="V33" s="110">
        <f>IF(AF3&gt;0,1,0)</f>
        <v>0</v>
      </c>
    </row>
    <row r="34" spans="2:31" ht="15.75" thickBot="1">
      <c r="B34" s="214"/>
      <c r="C34" s="214"/>
      <c r="D34" s="214"/>
      <c r="F34" s="214"/>
      <c r="G34" s="214"/>
      <c r="H34" s="214"/>
      <c r="J34" s="214"/>
      <c r="K34" s="214"/>
      <c r="L34" s="214"/>
      <c r="N34" s="214"/>
      <c r="O34" s="214"/>
      <c r="P34" s="214"/>
      <c r="R34" s="129">
        <f>SUM(R32:R33)</f>
        <v>0</v>
      </c>
      <c r="S34" s="130">
        <f t="shared" ref="S34:V34" si="0">SUM(S32:S33)</f>
        <v>0</v>
      </c>
      <c r="T34" s="130">
        <f t="shared" si="0"/>
        <v>0</v>
      </c>
      <c r="U34" s="130"/>
      <c r="V34" s="131">
        <f t="shared" si="0"/>
        <v>0</v>
      </c>
    </row>
    <row r="35" spans="2:31">
      <c r="B35" s="214"/>
      <c r="C35" s="214"/>
      <c r="D35" s="214"/>
      <c r="F35" s="214"/>
      <c r="G35" s="214"/>
      <c r="H35" s="214"/>
      <c r="J35" s="214"/>
      <c r="K35" s="214"/>
      <c r="L35" s="214"/>
      <c r="N35" s="214"/>
      <c r="O35" s="214"/>
      <c r="P35" s="214"/>
      <c r="R35" s="110"/>
      <c r="S35" s="110"/>
      <c r="T35" s="110"/>
      <c r="U35" s="110"/>
      <c r="V35" s="110"/>
    </row>
    <row r="36" spans="2:31">
      <c r="B36" s="214"/>
      <c r="C36" s="214"/>
      <c r="D36" s="214"/>
      <c r="F36" s="214"/>
      <c r="G36" s="214"/>
      <c r="H36" s="214"/>
      <c r="J36" s="214"/>
      <c r="K36" s="214"/>
      <c r="L36" s="214"/>
      <c r="N36" s="214"/>
      <c r="O36" s="214"/>
      <c r="P36" s="214"/>
      <c r="R36" s="110"/>
      <c r="S36" s="110"/>
      <c r="T36" s="110"/>
      <c r="U36" s="110"/>
      <c r="V36" s="110"/>
    </row>
    <row r="37" spans="2:31">
      <c r="B37" s="214"/>
      <c r="C37" s="214"/>
      <c r="D37" s="214"/>
      <c r="F37" s="214"/>
      <c r="G37" s="214"/>
      <c r="H37" s="214"/>
      <c r="J37" s="214"/>
      <c r="K37" s="214"/>
      <c r="L37" s="214"/>
      <c r="N37" s="214"/>
      <c r="O37" s="214"/>
      <c r="P37" s="214"/>
    </row>
    <row r="38" spans="2:31">
      <c r="B38" s="214"/>
      <c r="C38" s="214"/>
      <c r="D38" s="214"/>
      <c r="F38" s="214"/>
      <c r="G38" s="214"/>
      <c r="H38" s="214"/>
      <c r="J38" s="214"/>
      <c r="K38" s="214"/>
      <c r="L38" s="214"/>
      <c r="N38" s="214"/>
      <c r="O38" s="214"/>
      <c r="P38" s="214"/>
    </row>
    <row r="39" spans="2:31">
      <c r="B39" s="214"/>
      <c r="C39" s="214"/>
      <c r="D39" s="214"/>
      <c r="F39" s="214"/>
      <c r="G39" s="214"/>
      <c r="H39" s="214"/>
      <c r="J39" s="214"/>
      <c r="K39" s="214"/>
      <c r="L39" s="214"/>
      <c r="N39" s="214"/>
      <c r="O39" s="214"/>
      <c r="P39" s="214"/>
      <c r="W39" s="14"/>
    </row>
    <row r="40" spans="2:31" ht="21">
      <c r="B40" s="220" t="s">
        <v>9</v>
      </c>
      <c r="C40" s="220"/>
      <c r="D40" s="220"/>
      <c r="F40" s="220" t="s">
        <v>10</v>
      </c>
      <c r="G40" s="220"/>
      <c r="H40" s="220"/>
      <c r="J40" s="220" t="s">
        <v>11</v>
      </c>
      <c r="K40" s="220"/>
      <c r="L40" s="220"/>
      <c r="N40" s="220" t="s">
        <v>12</v>
      </c>
      <c r="O40" s="220"/>
      <c r="P40" s="220"/>
      <c r="R40" s="48"/>
      <c r="S40" s="48"/>
      <c r="T40" s="48"/>
    </row>
    <row r="41" spans="2:31" ht="15.75" thickBot="1">
      <c r="D41" s="32"/>
      <c r="H41" s="32"/>
      <c r="L41" s="32"/>
      <c r="P41" s="32"/>
      <c r="R41" s="48"/>
      <c r="S41" s="48"/>
      <c r="T41" s="48"/>
      <c r="W41" s="52" t="s">
        <v>49</v>
      </c>
      <c r="X41" s="49" t="s">
        <v>50</v>
      </c>
      <c r="Y41" s="49"/>
      <c r="Z41" s="53" t="s">
        <v>51</v>
      </c>
    </row>
    <row r="42" spans="2:31" ht="15.75" thickBot="1">
      <c r="B42" s="221" t="s">
        <v>13</v>
      </c>
      <c r="C42" s="33" t="s">
        <v>14</v>
      </c>
      <c r="D42" s="105">
        <f>IF('Objednávkový a nárezový plán'!$E$28="DT18",(IF('Objednávkový a nárezový plán'!$E$26=2,'Objednávkový a nárezový plán'!$E$24,0)),0)</f>
        <v>0</v>
      </c>
      <c r="F42" s="217" t="s">
        <v>13</v>
      </c>
      <c r="G42" s="33" t="s">
        <v>14</v>
      </c>
      <c r="H42" s="105">
        <f>IF('Objednávkový a nárezový plán'!$E$28="LE18",(IF('Objednávkový a nárezový plán'!$E$26=2,'Objednávkový a nárezový plán'!$E$24,0)),0)</f>
        <v>0</v>
      </c>
      <c r="J42" s="217" t="s">
        <v>13</v>
      </c>
      <c r="K42" s="33" t="s">
        <v>14</v>
      </c>
      <c r="L42" s="105">
        <f>IF('Objednávkový a nárezový plán'!$E$28="SH18",(IF('Objednávkový a nárezový plán'!$E$26=2,'Objednávkový a nárezový plán'!$E$24,0)),0)</f>
        <v>0</v>
      </c>
      <c r="N42" s="217" t="s">
        <v>13</v>
      </c>
      <c r="O42" s="33" t="s">
        <v>14</v>
      </c>
      <c r="P42" s="105">
        <f>IF('Objednávkový a nárezový plán'!$E$28="UP18",(IF('Objednávkový a nárezový plán'!$E$26=2,'Objednávkový a nárezový plán'!$E$24,0)),0)</f>
        <v>0</v>
      </c>
      <c r="R42" s="48"/>
      <c r="S42" s="48"/>
      <c r="T42" s="48">
        <f>IF(D42=0,0,4)</f>
        <v>0</v>
      </c>
      <c r="U42" s="48"/>
      <c r="V42" s="48"/>
      <c r="W42" s="54" t="s">
        <v>32</v>
      </c>
      <c r="X42" s="55">
        <f>IF(T71=0,0,T71)</f>
        <v>0</v>
      </c>
      <c r="Y42" s="55"/>
      <c r="Z42" s="56" t="s">
        <v>38</v>
      </c>
    </row>
    <row r="43" spans="2:31">
      <c r="B43" s="222"/>
      <c r="C43" s="34" t="s">
        <v>15</v>
      </c>
      <c r="D43" s="35">
        <f>IF(D42=0,0,(D42+4)/2)</f>
        <v>0</v>
      </c>
      <c r="F43" s="218"/>
      <c r="G43" s="34" t="s">
        <v>15</v>
      </c>
      <c r="H43" s="35">
        <f>IF(H42=0,0,(H42+4)/2)</f>
        <v>0</v>
      </c>
      <c r="J43" s="218"/>
      <c r="K43" s="34" t="s">
        <v>15</v>
      </c>
      <c r="L43" s="35">
        <f>IF(L42=0,0,(L42+4)/2)</f>
        <v>0</v>
      </c>
      <c r="N43" s="218"/>
      <c r="O43" s="34" t="s">
        <v>15</v>
      </c>
      <c r="P43" s="35">
        <f>IF(P42=0,0,(P42+4)/2)</f>
        <v>0</v>
      </c>
      <c r="R43" s="48"/>
      <c r="S43" s="48"/>
      <c r="T43" s="48">
        <f>IF(H42=0,0,4)</f>
        <v>0</v>
      </c>
      <c r="U43" s="48"/>
      <c r="V43" s="48"/>
      <c r="W43" s="57" t="s">
        <v>33</v>
      </c>
      <c r="X43" s="58">
        <f t="shared" ref="X43:X45" si="1">IF(T72=0,0,T72)</f>
        <v>0</v>
      </c>
      <c r="Y43" s="58"/>
      <c r="Z43" s="59" t="s">
        <v>38</v>
      </c>
    </row>
    <row r="44" spans="2:31">
      <c r="B44" s="222"/>
      <c r="C44" s="36" t="s">
        <v>16</v>
      </c>
      <c r="D44" s="37">
        <f>IF(D42=0,0,D43-5.4)</f>
        <v>0</v>
      </c>
      <c r="F44" s="218"/>
      <c r="G44" s="36" t="s">
        <v>16</v>
      </c>
      <c r="H44" s="37">
        <f>IF(H42=0,0,H43-5.4)</f>
        <v>0</v>
      </c>
      <c r="J44" s="218"/>
      <c r="K44" s="36" t="s">
        <v>16</v>
      </c>
      <c r="L44" s="37">
        <f>IF(L42=0,0,L43-5.4)</f>
        <v>0</v>
      </c>
      <c r="N44" s="218"/>
      <c r="O44" s="36" t="s">
        <v>16</v>
      </c>
      <c r="P44" s="37">
        <f>IF(P42=0,0,P43-4)</f>
        <v>0</v>
      </c>
      <c r="R44" s="82">
        <f>D44+H44+L44+P44</f>
        <v>0</v>
      </c>
      <c r="S44" s="48"/>
      <c r="T44" s="48">
        <f>IF(L42=0,0,4)</f>
        <v>0</v>
      </c>
      <c r="U44" s="48"/>
      <c r="V44" s="48"/>
      <c r="W44" s="57" t="s">
        <v>34</v>
      </c>
      <c r="X44" s="58">
        <f t="shared" si="1"/>
        <v>0</v>
      </c>
      <c r="Y44" s="58"/>
      <c r="Z44" s="59" t="s">
        <v>38</v>
      </c>
    </row>
    <row r="45" spans="2:31">
      <c r="B45" s="222"/>
      <c r="C45" s="38" t="s">
        <v>17</v>
      </c>
      <c r="D45" s="39">
        <f>IF(D42=0,0,D43-2.4)</f>
        <v>0</v>
      </c>
      <c r="F45" s="218"/>
      <c r="G45" s="38" t="s">
        <v>17</v>
      </c>
      <c r="H45" s="39">
        <f>IF(H42=0,0,H43-2.4)</f>
        <v>0</v>
      </c>
      <c r="J45" s="218"/>
      <c r="K45" s="38" t="s">
        <v>17</v>
      </c>
      <c r="L45" s="39">
        <f>IF(L42=0,0,L43-2.4)</f>
        <v>0</v>
      </c>
      <c r="N45" s="218"/>
      <c r="O45" s="38" t="s">
        <v>17</v>
      </c>
      <c r="P45" s="39">
        <f>IF(P42=0,0,P43-2.4)</f>
        <v>0</v>
      </c>
      <c r="R45" s="82">
        <f t="shared" ref="R45:R70" si="2">D45+H45+L45+P45</f>
        <v>0</v>
      </c>
      <c r="S45" s="48"/>
      <c r="T45" s="48">
        <f>IF(P42=0,0,4)</f>
        <v>0</v>
      </c>
      <c r="U45" s="48"/>
      <c r="V45" s="48"/>
      <c r="W45" s="57" t="s">
        <v>35</v>
      </c>
      <c r="X45" s="58">
        <f t="shared" si="1"/>
        <v>0</v>
      </c>
      <c r="Y45" s="58"/>
      <c r="Z45" s="59" t="s">
        <v>38</v>
      </c>
    </row>
    <row r="46" spans="2:31">
      <c r="B46" s="223"/>
      <c r="C46" s="40" t="s">
        <v>18</v>
      </c>
      <c r="D46" s="41">
        <f>IF(D42=0,0,D43-8.6)</f>
        <v>0</v>
      </c>
      <c r="F46" s="219"/>
      <c r="G46" s="40" t="s">
        <v>18</v>
      </c>
      <c r="H46" s="41">
        <f>IF(H42=0,0,H43-9.2)</f>
        <v>0</v>
      </c>
      <c r="J46" s="219"/>
      <c r="K46" s="40" t="s">
        <v>18</v>
      </c>
      <c r="L46" s="41">
        <f>IF(L42=0,0,L43-7.4)</f>
        <v>0</v>
      </c>
      <c r="N46" s="219"/>
      <c r="O46" s="40" t="s">
        <v>18</v>
      </c>
      <c r="P46" s="41">
        <f>IF(P42=0,0,P43-6.2)</f>
        <v>0</v>
      </c>
      <c r="R46" s="82">
        <f t="shared" si="2"/>
        <v>0</v>
      </c>
      <c r="S46" s="48"/>
      <c r="T46" s="48"/>
      <c r="U46" s="48"/>
      <c r="V46" s="48"/>
      <c r="W46" s="57" t="s">
        <v>52</v>
      </c>
      <c r="X46" s="60">
        <f>AI5</f>
        <v>0</v>
      </c>
      <c r="Y46" s="58"/>
      <c r="Z46" s="59" t="s">
        <v>38</v>
      </c>
    </row>
    <row r="47" spans="2:31" ht="15.75" thickBot="1">
      <c r="B47" s="14"/>
      <c r="C47" s="14"/>
      <c r="D47" s="42"/>
      <c r="F47" s="14"/>
      <c r="G47" s="14"/>
      <c r="H47" s="42"/>
      <c r="J47" s="14"/>
      <c r="K47" s="14"/>
      <c r="L47" s="42"/>
      <c r="N47" s="14"/>
      <c r="O47" s="14"/>
      <c r="P47" s="42"/>
      <c r="R47" s="82"/>
      <c r="S47" s="48"/>
      <c r="T47" s="48"/>
      <c r="U47" s="48"/>
      <c r="V47" s="48"/>
      <c r="W47" s="57" t="s">
        <v>53</v>
      </c>
      <c r="X47" s="60">
        <f>AI16</f>
        <v>0</v>
      </c>
      <c r="Y47" s="58"/>
      <c r="Z47" s="59" t="s">
        <v>38</v>
      </c>
      <c r="AA47" s="1">
        <v>200</v>
      </c>
      <c r="AB47" s="1">
        <f>IF(AD47=1,200,0)</f>
        <v>0</v>
      </c>
      <c r="AD47" s="1">
        <f>IF($X$50&gt;0,(IF($X$50&lt;=200,1,0)),0)</f>
        <v>0</v>
      </c>
    </row>
    <row r="48" spans="2:31" ht="15.75" thickBot="1">
      <c r="B48" s="217" t="s">
        <v>19</v>
      </c>
      <c r="C48" s="33" t="s">
        <v>14</v>
      </c>
      <c r="D48" s="105">
        <f>IF('Objednávkový a nárezový plán'!$E$28="DT18",(IF('Objednávkový a nárezový plán'!$E$26=3,'Objednávkový a nárezový plán'!$E$24,0)),0)</f>
        <v>0</v>
      </c>
      <c r="F48" s="217" t="s">
        <v>19</v>
      </c>
      <c r="G48" s="33" t="s">
        <v>14</v>
      </c>
      <c r="H48" s="105">
        <f>IF('Objednávkový a nárezový plán'!$E$28="LE18",(IF('Objednávkový a nárezový plán'!$E$26=3,'Objednávkový a nárezový plán'!$E$24,0)),0)</f>
        <v>0</v>
      </c>
      <c r="J48" s="217" t="s">
        <v>19</v>
      </c>
      <c r="K48" s="33" t="s">
        <v>14</v>
      </c>
      <c r="L48" s="105">
        <f>IF('Objednávkový a nárezový plán'!$E$28="SH18",(IF('Objednávkový a nárezový plán'!$E$26=3,'Objednávkový a nárezový plán'!$E$24,0)),0)</f>
        <v>0</v>
      </c>
      <c r="N48" s="217" t="s">
        <v>19</v>
      </c>
      <c r="O48" s="33" t="s">
        <v>14</v>
      </c>
      <c r="P48" s="105">
        <f>IF('Objednávkový a nárezový plán'!$E$28="UP18",(IF('Objednávkový a nárezový plán'!$E$26=3,'Objednávkový a nárezový plán'!$E$24,0)),0)</f>
        <v>0</v>
      </c>
      <c r="R48" s="82"/>
      <c r="S48" s="48"/>
      <c r="T48" s="48">
        <f>IF(D48=0,0,6)</f>
        <v>0</v>
      </c>
      <c r="U48" s="48"/>
      <c r="V48" s="48"/>
      <c r="W48" s="57" t="s">
        <v>54</v>
      </c>
      <c r="X48" s="60">
        <f>AI6</f>
        <v>0</v>
      </c>
      <c r="Y48" s="58"/>
      <c r="Z48" s="59" t="s">
        <v>38</v>
      </c>
      <c r="AA48" s="1">
        <v>300</v>
      </c>
      <c r="AB48" s="1">
        <f>IF((AD48+AE48)=2,300,0)</f>
        <v>0</v>
      </c>
      <c r="AD48" s="1">
        <f>IF($X$50&gt;0,(IF($X$50&gt;200,1,0)),0)</f>
        <v>0</v>
      </c>
      <c r="AE48" s="1">
        <f>IF($X$50&gt;0,(IF($X$50&lt;=300,1,0)),0)</f>
        <v>0</v>
      </c>
    </row>
    <row r="49" spans="2:32">
      <c r="B49" s="218"/>
      <c r="C49" s="34" t="s">
        <v>15</v>
      </c>
      <c r="D49" s="35">
        <f>IF(D48=0,0,(D48+8)/3)</f>
        <v>0</v>
      </c>
      <c r="F49" s="218"/>
      <c r="G49" s="34" t="s">
        <v>15</v>
      </c>
      <c r="H49" s="35">
        <f>IF(H48=0,0,(H48+8)/3)</f>
        <v>0</v>
      </c>
      <c r="J49" s="218"/>
      <c r="K49" s="34" t="s">
        <v>15</v>
      </c>
      <c r="L49" s="35">
        <f>IF(L48=0,0,(L48+8)/3)</f>
        <v>0</v>
      </c>
      <c r="N49" s="218"/>
      <c r="O49" s="34" t="s">
        <v>15</v>
      </c>
      <c r="P49" s="35">
        <f>IF(P48=0,0,(P48+8)/3)</f>
        <v>0</v>
      </c>
      <c r="R49" s="82"/>
      <c r="S49" s="48"/>
      <c r="T49" s="48">
        <f>IF(H48=0,0,6)</f>
        <v>0</v>
      </c>
      <c r="U49" s="48"/>
      <c r="V49" s="48"/>
      <c r="W49" s="57" t="s">
        <v>55</v>
      </c>
      <c r="X49" s="60">
        <f>AI17</f>
        <v>0</v>
      </c>
      <c r="Y49" s="58"/>
      <c r="Z49" s="59" t="s">
        <v>38</v>
      </c>
      <c r="AA49" s="1">
        <v>400</v>
      </c>
      <c r="AB49" s="1">
        <f>IF((AD49+AE49)=2,400,0)</f>
        <v>0</v>
      </c>
      <c r="AD49" s="1">
        <f>IF($X$50&gt;0,(IF($X$50&gt;300,1,0)),0)</f>
        <v>0</v>
      </c>
      <c r="AE49" s="1">
        <f>IF($X$50&gt;0,(IF($X$50&lt;=400,1,0)),0)</f>
        <v>0</v>
      </c>
    </row>
    <row r="50" spans="2:32">
      <c r="B50" s="218"/>
      <c r="C50" s="36" t="s">
        <v>16</v>
      </c>
      <c r="D50" s="37">
        <f>IF(D48=0,0,D49-5.4)</f>
        <v>0</v>
      </c>
      <c r="F50" s="218"/>
      <c r="G50" s="36" t="s">
        <v>16</v>
      </c>
      <c r="H50" s="37">
        <f>IF(H48=0,0,H49-5.4)</f>
        <v>0</v>
      </c>
      <c r="J50" s="218"/>
      <c r="K50" s="36" t="s">
        <v>16</v>
      </c>
      <c r="L50" s="37">
        <f>IF(L48=0,0,L49-5.4)</f>
        <v>0</v>
      </c>
      <c r="N50" s="218"/>
      <c r="O50" s="36" t="s">
        <v>16</v>
      </c>
      <c r="P50" s="37">
        <f>IF(P48=0,0,P49-4)</f>
        <v>0</v>
      </c>
      <c r="R50" s="82">
        <f t="shared" si="2"/>
        <v>0</v>
      </c>
      <c r="S50" s="48"/>
      <c r="T50" s="48">
        <f>IF(L48=0,0,6)</f>
        <v>0</v>
      </c>
      <c r="U50" s="48"/>
      <c r="V50" s="48"/>
      <c r="W50" s="57" t="s">
        <v>40</v>
      </c>
      <c r="X50" s="106">
        <f>P72</f>
        <v>0</v>
      </c>
      <c r="Y50" s="58"/>
      <c r="Z50" s="59" t="s">
        <v>88</v>
      </c>
      <c r="AA50" s="1">
        <v>600</v>
      </c>
      <c r="AB50" s="1">
        <f>IF((AD50+AE50)=2,600,0)</f>
        <v>0</v>
      </c>
      <c r="AD50" s="1">
        <f>IF($X$50&gt;0,(IF($X$50&gt;400,1,0)),0)</f>
        <v>0</v>
      </c>
      <c r="AE50" s="1">
        <f>IF($X$50&gt;0,(IF($X$50&lt;=600,1,0)),0)</f>
        <v>0</v>
      </c>
    </row>
    <row r="51" spans="2:32">
      <c r="B51" s="218"/>
      <c r="C51" s="38" t="s">
        <v>17</v>
      </c>
      <c r="D51" s="39">
        <f>IF(D48=0,0,D49-2.4)</f>
        <v>0</v>
      </c>
      <c r="F51" s="218"/>
      <c r="G51" s="38" t="s">
        <v>17</v>
      </c>
      <c r="H51" s="39">
        <f>IF(H48=0,0,H49-2.4)</f>
        <v>0</v>
      </c>
      <c r="J51" s="218"/>
      <c r="K51" s="38" t="s">
        <v>17</v>
      </c>
      <c r="L51" s="39">
        <f>IF(L48=0,0,L49-2.4)</f>
        <v>0</v>
      </c>
      <c r="N51" s="218"/>
      <c r="O51" s="38" t="s">
        <v>17</v>
      </c>
      <c r="P51" s="39">
        <f>IF(P48=0,0,P49-2.4)</f>
        <v>0</v>
      </c>
      <c r="R51" s="82">
        <f t="shared" si="2"/>
        <v>0</v>
      </c>
      <c r="S51" s="48"/>
      <c r="T51" s="48">
        <f>IF(P48=0,0,6)</f>
        <v>0</v>
      </c>
      <c r="U51" s="48"/>
      <c r="V51" s="48"/>
      <c r="W51" s="57" t="s">
        <v>41</v>
      </c>
      <c r="X51" s="106">
        <f>P72</f>
        <v>0</v>
      </c>
      <c r="Y51" s="58"/>
      <c r="Z51" s="59" t="s">
        <v>88</v>
      </c>
      <c r="AB51" s="1">
        <f>SUM(AB47:AB50)</f>
        <v>0</v>
      </c>
    </row>
    <row r="52" spans="2:32">
      <c r="B52" s="219"/>
      <c r="C52" s="40" t="s">
        <v>18</v>
      </c>
      <c r="D52" s="41">
        <f>IF(D48=0,0,D49-8.6)</f>
        <v>0</v>
      </c>
      <c r="F52" s="219"/>
      <c r="G52" s="40" t="s">
        <v>18</v>
      </c>
      <c r="H52" s="41">
        <f>IF(H48=0,0,H49-9.2)</f>
        <v>0</v>
      </c>
      <c r="J52" s="219"/>
      <c r="K52" s="40" t="s">
        <v>18</v>
      </c>
      <c r="L52" s="41">
        <f>IF(L48=0,0,L49-7.4)</f>
        <v>0</v>
      </c>
      <c r="N52" s="219"/>
      <c r="O52" s="40" t="s">
        <v>18</v>
      </c>
      <c r="P52" s="41">
        <f>IF(P48=0,0,P49-6.2)</f>
        <v>0</v>
      </c>
      <c r="R52" s="82">
        <f t="shared" si="2"/>
        <v>0</v>
      </c>
      <c r="S52" s="48"/>
      <c r="T52" s="48"/>
      <c r="U52" s="48"/>
      <c r="V52" s="48"/>
      <c r="W52" s="57" t="s">
        <v>46</v>
      </c>
      <c r="X52" s="106">
        <f>P72</f>
        <v>0</v>
      </c>
      <c r="Y52" s="58"/>
      <c r="Z52" s="59" t="s">
        <v>88</v>
      </c>
    </row>
    <row r="53" spans="2:32" ht="15.75" thickBot="1">
      <c r="B53" s="14"/>
      <c r="C53" s="14"/>
      <c r="D53" s="42"/>
      <c r="F53" s="14"/>
      <c r="G53" s="14"/>
      <c r="H53" s="42"/>
      <c r="J53" s="14"/>
      <c r="K53" s="14"/>
      <c r="L53" s="42"/>
      <c r="N53" s="14"/>
      <c r="O53" s="14"/>
      <c r="P53" s="42"/>
      <c r="R53" s="82"/>
      <c r="S53" s="48"/>
      <c r="T53" s="48"/>
      <c r="U53" s="48"/>
      <c r="V53" s="48"/>
      <c r="W53" s="57" t="s">
        <v>42</v>
      </c>
      <c r="X53" s="58">
        <f>T75</f>
        <v>0</v>
      </c>
      <c r="Y53" s="58"/>
      <c r="Z53" s="59" t="s">
        <v>38</v>
      </c>
    </row>
    <row r="54" spans="2:32" ht="15.75" thickBot="1">
      <c r="B54" s="217" t="s">
        <v>20</v>
      </c>
      <c r="C54" s="33" t="s">
        <v>14</v>
      </c>
      <c r="D54" s="105">
        <f>IF('Objednávkový a nárezový plán'!$E$28="DT18",(IF('Objednávkový a nárezový plán'!$E$26=4,'Objednávkový a nárezový plán'!$E$24,0)),0)</f>
        <v>0</v>
      </c>
      <c r="F54" s="217" t="s">
        <v>20</v>
      </c>
      <c r="G54" s="33" t="s">
        <v>14</v>
      </c>
      <c r="H54" s="105">
        <f>IF('Objednávkový a nárezový plán'!$E$28="LE18",(IF('Objednávkový a nárezový plán'!$E$26=4,'Objednávkový a nárezový plán'!$E$24,0)),0)</f>
        <v>0</v>
      </c>
      <c r="J54" s="217" t="s">
        <v>20</v>
      </c>
      <c r="K54" s="33" t="s">
        <v>14</v>
      </c>
      <c r="L54" s="105">
        <f>IF('Objednávkový a nárezový plán'!$E$28="SH18",(IF('Objednávkový a nárezový plán'!$E$26=4,'Objednávkový a nárezový plán'!$E$24,0)),0)</f>
        <v>0</v>
      </c>
      <c r="N54" s="217" t="s">
        <v>20</v>
      </c>
      <c r="O54" s="33" t="s">
        <v>14</v>
      </c>
      <c r="P54" s="105">
        <f>IF('Objednávkový a nárezový plán'!$E$28="UP18",(IF('Objednávkový a nárezový plán'!$E$26=4,'Objednávkový a nárezový plán'!$E$24,0)),0)</f>
        <v>0</v>
      </c>
      <c r="R54" s="82"/>
      <c r="S54" s="48"/>
      <c r="T54" s="48">
        <f>IF(D54=0,0,8)</f>
        <v>0</v>
      </c>
      <c r="U54" s="48"/>
      <c r="V54" s="48"/>
      <c r="W54" s="57" t="s">
        <v>43</v>
      </c>
      <c r="X54" s="58">
        <f>T75</f>
        <v>0</v>
      </c>
      <c r="Y54" s="58"/>
      <c r="Z54" s="59" t="s">
        <v>38</v>
      </c>
    </row>
    <row r="55" spans="2:32">
      <c r="B55" s="218"/>
      <c r="C55" s="34" t="s">
        <v>15</v>
      </c>
      <c r="D55" s="35">
        <f>IF(D54=0,0,(D54+12)/4)</f>
        <v>0</v>
      </c>
      <c r="F55" s="218"/>
      <c r="G55" s="34" t="s">
        <v>15</v>
      </c>
      <c r="H55" s="35">
        <f>IF(H54=0,0,(H54+12)/4)</f>
        <v>0</v>
      </c>
      <c r="J55" s="218"/>
      <c r="K55" s="34" t="s">
        <v>15</v>
      </c>
      <c r="L55" s="35">
        <f>IF(L54=0,0,(L54+12)/4)</f>
        <v>0</v>
      </c>
      <c r="N55" s="218"/>
      <c r="O55" s="34" t="s">
        <v>15</v>
      </c>
      <c r="P55" s="35">
        <f>IF(P54=0,0,(P54+12)/4)</f>
        <v>0</v>
      </c>
      <c r="R55" s="82"/>
      <c r="S55" s="48"/>
      <c r="T55" s="48">
        <f>IF(H54=0,0,8)</f>
        <v>0</v>
      </c>
      <c r="U55" s="48"/>
      <c r="V55" s="48"/>
      <c r="W55" s="57" t="s">
        <v>44</v>
      </c>
      <c r="X55" s="60">
        <f>ROUNDUP(AG4*T75/100,0)</f>
        <v>0</v>
      </c>
      <c r="Y55" s="58"/>
      <c r="Z55" s="59" t="s">
        <v>39</v>
      </c>
      <c r="AF55" s="14"/>
    </row>
    <row r="56" spans="2:32">
      <c r="B56" s="218"/>
      <c r="C56" s="36" t="s">
        <v>16</v>
      </c>
      <c r="D56" s="37">
        <f>IF(D54=0,0,D55-5.4)</f>
        <v>0</v>
      </c>
      <c r="F56" s="218"/>
      <c r="G56" s="36" t="s">
        <v>16</v>
      </c>
      <c r="H56" s="37">
        <f>IF(H54=0,0,H55-5.4)</f>
        <v>0</v>
      </c>
      <c r="J56" s="218"/>
      <c r="K56" s="36" t="s">
        <v>16</v>
      </c>
      <c r="L56" s="37">
        <f>IF(L54=0,0,L55-5.4)</f>
        <v>0</v>
      </c>
      <c r="N56" s="218"/>
      <c r="O56" s="36" t="s">
        <v>16</v>
      </c>
      <c r="P56" s="37">
        <f>IF(P54=0,0,P55-4)</f>
        <v>0</v>
      </c>
      <c r="R56" s="82">
        <f t="shared" si="2"/>
        <v>0</v>
      </c>
      <c r="S56" s="48"/>
      <c r="T56" s="48">
        <f>IF(L54=0,0,8)</f>
        <v>0</v>
      </c>
      <c r="U56" s="48"/>
      <c r="V56" s="48"/>
      <c r="W56" s="57" t="s">
        <v>45</v>
      </c>
      <c r="X56" s="58">
        <f>ROUNDUP(X55/2,0)</f>
        <v>0</v>
      </c>
      <c r="Y56" s="58"/>
      <c r="Z56" s="59" t="s">
        <v>39</v>
      </c>
    </row>
    <row r="57" spans="2:32">
      <c r="B57" s="218"/>
      <c r="C57" s="38" t="s">
        <v>17</v>
      </c>
      <c r="D57" s="39">
        <f>IF(D54=0,0,D55-2.4)</f>
        <v>0</v>
      </c>
      <c r="F57" s="218"/>
      <c r="G57" s="38" t="s">
        <v>17</v>
      </c>
      <c r="H57" s="39">
        <f>IF(H54=0,0,H55-2.4)</f>
        <v>0</v>
      </c>
      <c r="I57" s="43"/>
      <c r="J57" s="218"/>
      <c r="K57" s="38" t="s">
        <v>17</v>
      </c>
      <c r="L57" s="39">
        <f>IF(L54=0,0,L55-2.4)</f>
        <v>0</v>
      </c>
      <c r="N57" s="218"/>
      <c r="O57" s="38" t="s">
        <v>17</v>
      </c>
      <c r="P57" s="39">
        <f>IF(P54=0,0,P55-2.4)</f>
        <v>0</v>
      </c>
      <c r="R57" s="82">
        <f t="shared" si="2"/>
        <v>0</v>
      </c>
      <c r="S57" s="48"/>
      <c r="T57" s="48">
        <f>IF(P54=0,0,8)</f>
        <v>0</v>
      </c>
      <c r="U57" s="48"/>
      <c r="V57" s="48"/>
      <c r="W57" s="61" t="s">
        <v>47</v>
      </c>
      <c r="X57" s="62">
        <f>AE26*T75</f>
        <v>0</v>
      </c>
      <c r="Y57" s="62"/>
      <c r="Z57" s="63" t="s">
        <v>38</v>
      </c>
    </row>
    <row r="58" spans="2:32">
      <c r="B58" s="219"/>
      <c r="C58" s="40" t="s">
        <v>18</v>
      </c>
      <c r="D58" s="41">
        <f>IF(D54=0,0,D55-8.6)</f>
        <v>0</v>
      </c>
      <c r="F58" s="219"/>
      <c r="G58" s="40" t="s">
        <v>18</v>
      </c>
      <c r="H58" s="41">
        <f>IF(H54=0,0,H55-9.2)</f>
        <v>0</v>
      </c>
      <c r="J58" s="219"/>
      <c r="K58" s="40" t="s">
        <v>18</v>
      </c>
      <c r="L58" s="41">
        <f>IF(L54=0,0,L55-7.4)</f>
        <v>0</v>
      </c>
      <c r="N58" s="219"/>
      <c r="O58" s="40" t="s">
        <v>18</v>
      </c>
      <c r="P58" s="41">
        <f>IF(P54=0,0,P55-6.2)</f>
        <v>0</v>
      </c>
      <c r="R58" s="82">
        <f t="shared" si="2"/>
        <v>0</v>
      </c>
      <c r="S58" s="48"/>
      <c r="T58" s="48"/>
      <c r="U58" s="48"/>
      <c r="V58" s="48"/>
    </row>
    <row r="59" spans="2:32" ht="15.75" thickBot="1">
      <c r="B59" s="14"/>
      <c r="C59" s="14"/>
      <c r="D59" s="42"/>
      <c r="F59" s="14"/>
      <c r="G59" s="14"/>
      <c r="H59" s="42"/>
      <c r="J59" s="14"/>
      <c r="K59" s="14"/>
      <c r="L59" s="42"/>
      <c r="N59" s="14"/>
      <c r="O59" s="14"/>
      <c r="P59" s="42"/>
      <c r="R59" s="82"/>
      <c r="S59" s="48"/>
      <c r="T59" s="48"/>
      <c r="U59" s="48"/>
      <c r="V59" s="48"/>
      <c r="W59" s="52" t="s">
        <v>49</v>
      </c>
      <c r="X59" s="49" t="s">
        <v>25</v>
      </c>
      <c r="Y59" s="49" t="s">
        <v>48</v>
      </c>
      <c r="Z59" s="49" t="s">
        <v>26</v>
      </c>
      <c r="AA59" s="50"/>
      <c r="AB59" s="51" t="s">
        <v>38</v>
      </c>
      <c r="AC59" s="14"/>
      <c r="AD59" s="14"/>
    </row>
    <row r="60" spans="2:32" ht="15.75" thickBot="1">
      <c r="B60" s="217" t="s">
        <v>21</v>
      </c>
      <c r="C60" s="33" t="s">
        <v>14</v>
      </c>
      <c r="D60" s="105">
        <f>IF('Objednávkový a nárezový plán'!$E$28="DT18",(IF('Objednávkový a nárezový plán'!$E$26=5,'Objednávkový a nárezový plán'!$E$24,0)),0)</f>
        <v>0</v>
      </c>
      <c r="F60" s="217" t="s">
        <v>21</v>
      </c>
      <c r="G60" s="33" t="s">
        <v>14</v>
      </c>
      <c r="H60" s="105">
        <f>IF('Objednávkový a nárezový plán'!$E$28="LE18",(IF('Objednávkový a nárezový plán'!$E$26=5,'Objednávkový a nárezový plán'!$E$24,0)),0)</f>
        <v>0</v>
      </c>
      <c r="J60" s="217" t="s">
        <v>21</v>
      </c>
      <c r="K60" s="33" t="s">
        <v>14</v>
      </c>
      <c r="L60" s="105">
        <f>IF('Objednávkový a nárezový plán'!$E$28="SH18",(IF('Objednávkový a nárezový plán'!$E$26=5,'Objednávkový a nárezový plán'!$E$24,0)),0)</f>
        <v>0</v>
      </c>
      <c r="N60" s="217" t="s">
        <v>21</v>
      </c>
      <c r="O60" s="33" t="s">
        <v>14</v>
      </c>
      <c r="P60" s="105">
        <f>IF('Objednávkový a nárezový plán'!$E$28="UP18",(IF('Objednávkový a nárezový plán'!$E$26=5,'Objednávkový a nárezový plán'!$E$24,0)),0)</f>
        <v>0</v>
      </c>
      <c r="R60" s="82"/>
      <c r="S60" s="48"/>
      <c r="T60" s="48">
        <f>IF(D60=0,0,10)</f>
        <v>0</v>
      </c>
      <c r="U60" s="48"/>
      <c r="V60" s="48"/>
      <c r="W60" s="64" t="s">
        <v>23</v>
      </c>
      <c r="X60" s="65">
        <f>D10+T10+X15+AF15</f>
        <v>0</v>
      </c>
      <c r="Y60" s="66" t="s">
        <v>48</v>
      </c>
      <c r="Z60" s="66">
        <f>D12+T12+X17+AF17</f>
        <v>0</v>
      </c>
      <c r="AA60" s="67"/>
      <c r="AB60" s="68">
        <f>IF((D12+T12+X17+AF17)=0,0,$T$75/2)</f>
        <v>0</v>
      </c>
      <c r="AC60" s="14"/>
      <c r="AD60" s="14"/>
    </row>
    <row r="61" spans="2:32">
      <c r="B61" s="218"/>
      <c r="C61" s="34" t="s">
        <v>15</v>
      </c>
      <c r="D61" s="35">
        <f>IF(D60=0,0,(D60+16)/5)</f>
        <v>0</v>
      </c>
      <c r="F61" s="218"/>
      <c r="G61" s="14" t="s">
        <v>15</v>
      </c>
      <c r="H61" s="44">
        <f>IF(H60=0,0,(H60+16)/5)</f>
        <v>0</v>
      </c>
      <c r="J61" s="218"/>
      <c r="K61" s="34" t="s">
        <v>15</v>
      </c>
      <c r="L61" s="35">
        <f>IF(L60=0,0,(L60+16)/5)</f>
        <v>0</v>
      </c>
      <c r="N61" s="218"/>
      <c r="O61" s="34" t="s">
        <v>15</v>
      </c>
      <c r="P61" s="35">
        <f>IF(P60=0,0,(P60+16)/5)</f>
        <v>0</v>
      </c>
      <c r="R61" s="82"/>
      <c r="S61" s="48"/>
      <c r="T61" s="48">
        <f>IF(H60=0,0,10)</f>
        <v>0</v>
      </c>
      <c r="U61" s="48"/>
      <c r="V61" s="48"/>
      <c r="W61" s="69" t="s">
        <v>28</v>
      </c>
      <c r="X61" s="70">
        <f>L10+AB10</f>
        <v>0</v>
      </c>
      <c r="Y61" s="71" t="s">
        <v>48</v>
      </c>
      <c r="Z61" s="71">
        <f>L12+AB12</f>
        <v>0</v>
      </c>
      <c r="AA61" s="72"/>
      <c r="AB61" s="73">
        <f>IF((L12+AB12)=0,0,$T$75/2)</f>
        <v>0</v>
      </c>
      <c r="AC61" s="14"/>
      <c r="AD61" s="14"/>
    </row>
    <row r="62" spans="2:32">
      <c r="B62" s="218"/>
      <c r="C62" s="36" t="s">
        <v>16</v>
      </c>
      <c r="D62" s="37">
        <f>IF(D60=0,0,D61-5.4)</f>
        <v>0</v>
      </c>
      <c r="F62" s="218"/>
      <c r="G62" s="36" t="s">
        <v>16</v>
      </c>
      <c r="H62" s="37">
        <f>IF(H60=0,0,H61-5.4)</f>
        <v>0</v>
      </c>
      <c r="J62" s="218"/>
      <c r="K62" s="36" t="s">
        <v>16</v>
      </c>
      <c r="L62" s="37">
        <f>IF(L60=0,0,L61-5.4)</f>
        <v>0</v>
      </c>
      <c r="N62" s="218"/>
      <c r="O62" s="36" t="s">
        <v>16</v>
      </c>
      <c r="P62" s="37">
        <f>IF(P60=0,0,P61-4)</f>
        <v>0</v>
      </c>
      <c r="R62" s="82">
        <f t="shared" si="2"/>
        <v>0</v>
      </c>
      <c r="S62" s="48"/>
      <c r="T62" s="48">
        <f>IF(L60=0,0,10)</f>
        <v>0</v>
      </c>
      <c r="U62" s="48"/>
      <c r="V62" s="48"/>
      <c r="W62" s="69" t="s">
        <v>30</v>
      </c>
      <c r="X62" s="70">
        <f>L15+AB20</f>
        <v>0</v>
      </c>
      <c r="Y62" s="71" t="s">
        <v>48</v>
      </c>
      <c r="Z62" s="71">
        <f>L17+AB22</f>
        <v>0</v>
      </c>
      <c r="AA62" s="72"/>
      <c r="AB62" s="73">
        <f>IF((L17+AB22)=0,0,$T$75/2)</f>
        <v>0</v>
      </c>
      <c r="AC62" s="14"/>
      <c r="AD62" s="14"/>
    </row>
    <row r="63" spans="2:32">
      <c r="B63" s="218"/>
      <c r="C63" s="38" t="s">
        <v>17</v>
      </c>
      <c r="D63" s="39">
        <f>IF(D60=0,0,D61-2.4)</f>
        <v>0</v>
      </c>
      <c r="F63" s="218"/>
      <c r="G63" s="38" t="s">
        <v>17</v>
      </c>
      <c r="H63" s="39">
        <f>IF(H60=0,0,H61-2.4)</f>
        <v>0</v>
      </c>
      <c r="J63" s="218"/>
      <c r="K63" s="38" t="s">
        <v>17</v>
      </c>
      <c r="L63" s="39">
        <f>IF(L60=0,0,L61-2.4)</f>
        <v>0</v>
      </c>
      <c r="N63" s="218"/>
      <c r="O63" s="38" t="s">
        <v>17</v>
      </c>
      <c r="P63" s="39">
        <f>IF(P60=0,0,P61-2.4)</f>
        <v>0</v>
      </c>
      <c r="R63" s="82">
        <f t="shared" si="2"/>
        <v>0</v>
      </c>
      <c r="S63" s="48"/>
      <c r="T63" s="48">
        <f>IF(P60=0,0,10)</f>
        <v>0</v>
      </c>
      <c r="U63" s="48"/>
      <c r="V63" s="48"/>
      <c r="W63" s="69" t="s">
        <v>29</v>
      </c>
      <c r="X63" s="70">
        <f>H10+T15+X10+AB15</f>
        <v>0</v>
      </c>
      <c r="Y63" s="71" t="s">
        <v>48</v>
      </c>
      <c r="Z63" s="71">
        <f>H12+T17+X12+AB17</f>
        <v>0</v>
      </c>
      <c r="AA63" s="72"/>
      <c r="AB63" s="73">
        <f>IF((H12+T17+X12+AB17)=0,0,$T$75/2)</f>
        <v>0</v>
      </c>
      <c r="AC63" s="14"/>
      <c r="AD63" s="14"/>
    </row>
    <row r="64" spans="2:32">
      <c r="B64" s="219"/>
      <c r="C64" s="40" t="s">
        <v>18</v>
      </c>
      <c r="D64" s="41">
        <f>IF(D60=0,0,D61-8.6)</f>
        <v>0</v>
      </c>
      <c r="F64" s="219"/>
      <c r="G64" s="40" t="s">
        <v>18</v>
      </c>
      <c r="H64" s="41">
        <f>IF(H60=0,0,H61-9.2)</f>
        <v>0</v>
      </c>
      <c r="J64" s="219"/>
      <c r="K64" s="40" t="s">
        <v>18</v>
      </c>
      <c r="L64" s="41">
        <f>IF(L60=0,0,L61-7.4)</f>
        <v>0</v>
      </c>
      <c r="N64" s="219"/>
      <c r="O64" s="40" t="s">
        <v>18</v>
      </c>
      <c r="P64" s="41">
        <f>IF(P60=0,0,P61-6.2)</f>
        <v>0</v>
      </c>
      <c r="R64" s="82">
        <f t="shared" si="2"/>
        <v>0</v>
      </c>
      <c r="S64" s="48"/>
      <c r="T64" s="48"/>
      <c r="U64" s="48"/>
      <c r="V64" s="48"/>
      <c r="W64" s="69" t="s">
        <v>24</v>
      </c>
      <c r="X64" s="70">
        <f>P10+AF10</f>
        <v>0</v>
      </c>
      <c r="Y64" s="71" t="s">
        <v>48</v>
      </c>
      <c r="Z64" s="71">
        <f>P12+AF12</f>
        <v>0</v>
      </c>
      <c r="AA64" s="72"/>
      <c r="AB64" s="73">
        <f>IF((P12+AF12)=0,0,$T$75/2)</f>
        <v>0</v>
      </c>
      <c r="AC64" s="14"/>
      <c r="AD64" s="14"/>
    </row>
    <row r="65" spans="2:30" ht="15.75" thickBot="1">
      <c r="D65" s="32"/>
      <c r="H65" s="32"/>
      <c r="L65" s="32"/>
      <c r="P65" s="32"/>
      <c r="R65" s="82"/>
      <c r="S65" s="48"/>
      <c r="T65" s="48"/>
      <c r="U65" s="48"/>
      <c r="V65" s="48"/>
      <c r="W65" s="74" t="s">
        <v>27</v>
      </c>
      <c r="X65" s="75">
        <f>P15+AF20</f>
        <v>0</v>
      </c>
      <c r="Y65" s="76" t="s">
        <v>48</v>
      </c>
      <c r="Z65" s="76">
        <f>P17+AF22</f>
        <v>0</v>
      </c>
      <c r="AA65" s="77"/>
      <c r="AB65" s="78">
        <f>IF((P17+AF22)=0,0,$T$75/2)</f>
        <v>0</v>
      </c>
      <c r="AC65" s="14"/>
      <c r="AD65" s="14"/>
    </row>
    <row r="66" spans="2:30" ht="15.75" thickBot="1">
      <c r="B66" s="217" t="s">
        <v>22</v>
      </c>
      <c r="C66" s="33" t="s">
        <v>14</v>
      </c>
      <c r="D66" s="105">
        <f>IF('Objednávkový a nárezový plán'!$E$28="DT18",(IF('Objednávkový a nárezový plán'!$E$26=6,'Objednávkový a nárezový plán'!$E$24,0)),0)</f>
        <v>0</v>
      </c>
      <c r="F66" s="217" t="s">
        <v>22</v>
      </c>
      <c r="G66" s="33" t="s">
        <v>14</v>
      </c>
      <c r="H66" s="105">
        <f>IF('Objednávkový a nárezový plán'!$E$28="LE18",(IF('Objednávkový a nárezový plán'!$E$26=6,'Objednávkový a nárezový plán'!$E$24,0)),0)</f>
        <v>0</v>
      </c>
      <c r="J66" s="217" t="s">
        <v>22</v>
      </c>
      <c r="K66" s="33" t="s">
        <v>14</v>
      </c>
      <c r="L66" s="105">
        <f>IF('Objednávkový a nárezový plán'!$E$28="SH18",(IF('Objednávkový a nárezový plán'!$E$26=6,'Objednávkový a nárezový plán'!$E$24,0)),0)</f>
        <v>0</v>
      </c>
      <c r="N66" s="217" t="s">
        <v>22</v>
      </c>
      <c r="O66" s="33" t="s">
        <v>14</v>
      </c>
      <c r="P66" s="105">
        <f>IF('Objednávkový a nárezový plán'!$E$28="UP18",(IF('Objednávkový a nárezový plán'!$E$26=6,'Objednávkový a nárezový plán'!$E$24,0)),0)</f>
        <v>0</v>
      </c>
      <c r="R66" s="82"/>
      <c r="S66" s="48"/>
      <c r="T66" s="48">
        <f>IF(D66=0,0,12)</f>
        <v>0</v>
      </c>
      <c r="U66" s="48"/>
      <c r="V66" s="48"/>
    </row>
    <row r="67" spans="2:30">
      <c r="B67" s="218"/>
      <c r="C67" s="34" t="s">
        <v>15</v>
      </c>
      <c r="D67" s="35">
        <f>IF(D66=0,0,(D66+20)/6)</f>
        <v>0</v>
      </c>
      <c r="F67" s="218"/>
      <c r="G67" s="34" t="s">
        <v>15</v>
      </c>
      <c r="H67" s="35">
        <f>IF(H66=0,0,(H66+20)/6)</f>
        <v>0</v>
      </c>
      <c r="J67" s="218"/>
      <c r="K67" s="34" t="s">
        <v>15</v>
      </c>
      <c r="L67" s="45">
        <f>IF(L66=0,0,(L66+20)/6)</f>
        <v>0</v>
      </c>
      <c r="N67" s="218"/>
      <c r="O67" s="34" t="s">
        <v>15</v>
      </c>
      <c r="P67" s="35">
        <f>IF(P66=0,0,(P66+20)/6)</f>
        <v>0</v>
      </c>
      <c r="R67" s="82"/>
      <c r="S67" s="48"/>
      <c r="T67" s="48">
        <f>IF(H66=0,0,12)</f>
        <v>0</v>
      </c>
      <c r="U67" s="48"/>
      <c r="V67" s="48"/>
    </row>
    <row r="68" spans="2:30">
      <c r="B68" s="218"/>
      <c r="C68" s="36" t="s">
        <v>16</v>
      </c>
      <c r="D68" s="37">
        <f>IF(D66=0,0,D67-5.4)</f>
        <v>0</v>
      </c>
      <c r="F68" s="218"/>
      <c r="G68" s="36" t="s">
        <v>16</v>
      </c>
      <c r="H68" s="37">
        <f>IF(H66=0,0,H67-5.4)</f>
        <v>0</v>
      </c>
      <c r="J68" s="218"/>
      <c r="K68" s="36" t="s">
        <v>16</v>
      </c>
      <c r="L68" s="37">
        <f>IF(L66=0,0,L67-5.4)</f>
        <v>0</v>
      </c>
      <c r="N68" s="218"/>
      <c r="O68" s="36" t="s">
        <v>16</v>
      </c>
      <c r="P68" s="37">
        <f>IF(P66=0,0,P67-4)</f>
        <v>0</v>
      </c>
      <c r="R68" s="82">
        <f t="shared" si="2"/>
        <v>0</v>
      </c>
      <c r="S68" s="82">
        <f>R44+R50+R56+R62+R68</f>
        <v>0</v>
      </c>
      <c r="T68" s="48">
        <f>IF(L66=0,0,12)</f>
        <v>0</v>
      </c>
      <c r="U68" s="48"/>
      <c r="V68" s="48"/>
    </row>
    <row r="69" spans="2:30">
      <c r="B69" s="218"/>
      <c r="C69" s="38" t="s">
        <v>17</v>
      </c>
      <c r="D69" s="39">
        <f>IF(D66=0,0,D67-2.4)</f>
        <v>0</v>
      </c>
      <c r="F69" s="218"/>
      <c r="G69" s="38" t="s">
        <v>17</v>
      </c>
      <c r="H69" s="39">
        <f>IF(H66=0,0,H67-2.4)</f>
        <v>0</v>
      </c>
      <c r="J69" s="218"/>
      <c r="K69" s="38" t="s">
        <v>17</v>
      </c>
      <c r="L69" s="39">
        <f>IF(L66=0,0,L67-2.4)</f>
        <v>0</v>
      </c>
      <c r="N69" s="218"/>
      <c r="O69" s="38" t="s">
        <v>17</v>
      </c>
      <c r="P69" s="39">
        <f>IF(P66=0,0,P67-2.4)</f>
        <v>0</v>
      </c>
      <c r="R69" s="82">
        <f t="shared" si="2"/>
        <v>0</v>
      </c>
      <c r="S69" s="82">
        <f>R45+R51+R57+R63+R69</f>
        <v>0</v>
      </c>
      <c r="T69" s="48">
        <f>IF(P66=0,0,12)</f>
        <v>0</v>
      </c>
      <c r="U69" s="48"/>
      <c r="V69" s="48"/>
    </row>
    <row r="70" spans="2:30">
      <c r="B70" s="219"/>
      <c r="C70" s="40" t="s">
        <v>18</v>
      </c>
      <c r="D70" s="41">
        <f>IF(D66=0,0,D67-8.6)</f>
        <v>0</v>
      </c>
      <c r="F70" s="219"/>
      <c r="G70" s="40" t="s">
        <v>18</v>
      </c>
      <c r="H70" s="41">
        <f>IF(H66=0,0,H67-9.2)</f>
        <v>0</v>
      </c>
      <c r="J70" s="219"/>
      <c r="K70" s="40" t="s">
        <v>18</v>
      </c>
      <c r="L70" s="41">
        <f>IF(L66=0,0,L67-7.4)</f>
        <v>0</v>
      </c>
      <c r="N70" s="219"/>
      <c r="O70" s="40" t="s">
        <v>18</v>
      </c>
      <c r="P70" s="41">
        <f>IF(P66=0,0,P67-6.2)</f>
        <v>0</v>
      </c>
      <c r="R70" s="82">
        <f t="shared" si="2"/>
        <v>0</v>
      </c>
      <c r="S70" s="82">
        <f>R46+R52+R58+R64+R70</f>
        <v>0</v>
      </c>
      <c r="T70" s="48"/>
      <c r="U70" s="48"/>
      <c r="V70" s="48"/>
    </row>
    <row r="71" spans="2:30">
      <c r="B71" s="46"/>
      <c r="C71" s="46"/>
      <c r="D71" s="47">
        <f>D42+D48+D54+D60+D66</f>
        <v>0</v>
      </c>
      <c r="E71" s="46"/>
      <c r="F71" s="46"/>
      <c r="G71" s="46"/>
      <c r="H71" s="47">
        <f>H42+H48+H54+H60+H66</f>
        <v>0</v>
      </c>
      <c r="I71" s="46"/>
      <c r="J71" s="46"/>
      <c r="K71" s="46"/>
      <c r="L71" s="47">
        <f>L42+L48+L54+L60+L66</f>
        <v>0</v>
      </c>
      <c r="M71" s="46"/>
      <c r="N71" s="46"/>
      <c r="O71" s="46"/>
      <c r="P71" s="47">
        <f>P42+P48+P54+P60+P66</f>
        <v>0</v>
      </c>
      <c r="R71" s="48"/>
      <c r="S71" s="48"/>
      <c r="T71" s="48">
        <f>T42+T48+T54+T60+T66</f>
        <v>0</v>
      </c>
      <c r="U71" s="48"/>
      <c r="V71" s="48"/>
    </row>
    <row r="72" spans="2:30"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7">
        <f>SUM(D71:P71)</f>
        <v>0</v>
      </c>
      <c r="R72" s="48"/>
      <c r="S72" s="48"/>
      <c r="T72" s="48">
        <f>T43+T49+T55+T61+T67</f>
        <v>0</v>
      </c>
      <c r="U72" s="48"/>
      <c r="V72" s="48"/>
    </row>
    <row r="73" spans="2:30"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R73" s="48"/>
      <c r="S73" s="48"/>
      <c r="T73" s="48">
        <f>T44+T50+T56+T62+T68</f>
        <v>0</v>
      </c>
      <c r="U73" s="48"/>
      <c r="V73" s="48"/>
    </row>
    <row r="74" spans="2:30"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R74" s="48"/>
      <c r="S74" s="48"/>
      <c r="T74" s="48">
        <f>T45+T51+T57+T63+T69</f>
        <v>0</v>
      </c>
      <c r="U74" s="48"/>
      <c r="V74" s="48"/>
    </row>
    <row r="75" spans="2:30">
      <c r="R75" s="48"/>
      <c r="S75" s="48"/>
      <c r="T75" s="48">
        <f>SUM(T71:T74)</f>
        <v>0</v>
      </c>
      <c r="U75" s="48"/>
      <c r="V75" s="48"/>
    </row>
    <row r="76" spans="2:30">
      <c r="R76" s="48"/>
      <c r="S76" s="48"/>
      <c r="T76" s="48"/>
      <c r="U76" s="48"/>
      <c r="V76" s="48"/>
    </row>
  </sheetData>
  <mergeCells count="52">
    <mergeCell ref="B40:D40"/>
    <mergeCell ref="F40:H40"/>
    <mergeCell ref="J40:L40"/>
    <mergeCell ref="N40:P40"/>
    <mergeCell ref="B42:B46"/>
    <mergeCell ref="F42:F46"/>
    <mergeCell ref="J42:J46"/>
    <mergeCell ref="N42:N46"/>
    <mergeCell ref="B48:B52"/>
    <mergeCell ref="F48:F52"/>
    <mergeCell ref="J48:J52"/>
    <mergeCell ref="N48:N52"/>
    <mergeCell ref="B54:B58"/>
    <mergeCell ref="F54:F58"/>
    <mergeCell ref="J54:J58"/>
    <mergeCell ref="N54:N58"/>
    <mergeCell ref="B60:B64"/>
    <mergeCell ref="F60:F64"/>
    <mergeCell ref="J60:J64"/>
    <mergeCell ref="N60:N64"/>
    <mergeCell ref="B66:B70"/>
    <mergeCell ref="F66:F70"/>
    <mergeCell ref="J66:J70"/>
    <mergeCell ref="N66:N70"/>
    <mergeCell ref="AE9:AF9"/>
    <mergeCell ref="AE14:AF14"/>
    <mergeCell ref="AE19:AF19"/>
    <mergeCell ref="C9:D9"/>
    <mergeCell ref="G9:H9"/>
    <mergeCell ref="O9:P9"/>
    <mergeCell ref="S14:T14"/>
    <mergeCell ref="S9:T9"/>
    <mergeCell ref="K9:L9"/>
    <mergeCell ref="K14:L14"/>
    <mergeCell ref="O14:P14"/>
    <mergeCell ref="W9:X9"/>
    <mergeCell ref="AA9:AB9"/>
    <mergeCell ref="K19:K20"/>
    <mergeCell ref="W14:X14"/>
    <mergeCell ref="AA14:AB14"/>
    <mergeCell ref="B29:D39"/>
    <mergeCell ref="F29:H39"/>
    <mergeCell ref="J29:L39"/>
    <mergeCell ref="N29:P39"/>
    <mergeCell ref="G14:G15"/>
    <mergeCell ref="C14:C15"/>
    <mergeCell ref="AA24:AA25"/>
    <mergeCell ref="AE24:AE25"/>
    <mergeCell ref="W19:W20"/>
    <mergeCell ref="S19:S20"/>
    <mergeCell ref="O19:O20"/>
    <mergeCell ref="AA19:AB1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4</vt:i4>
      </vt:variant>
    </vt:vector>
  </HeadingPairs>
  <TitlesOfParts>
    <vt:vector size="4" baseType="lpstr">
      <vt:lpstr>Návod na používanie</vt:lpstr>
      <vt:lpstr>Objednávkový a nárezový plán</vt:lpstr>
      <vt:lpstr>Obrázkový zoznam kovaní</vt:lpstr>
      <vt:lpstr>Prepočty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Skvarka_Jaro</dc:creator>
  <cp:lastModifiedBy>Skvarka_Jaro</cp:lastModifiedBy>
  <dcterms:created xsi:type="dcterms:W3CDTF">2012-08-17T05:08:06Z</dcterms:created>
  <dcterms:modified xsi:type="dcterms:W3CDTF">2012-08-28T11:04:44Z</dcterms:modified>
</cp:coreProperties>
</file>